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7.xml" ContentType="application/vnd.openxmlformats-officedocument.drawingml.chart+xml"/>
  <Override PartName="/xl/drawings/drawing5.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d.docs.live.net/1eb45100a368118f/SBAOnedrive/Overdose/"/>
    </mc:Choice>
  </mc:AlternateContent>
  <xr:revisionPtr revIDLastSave="0" documentId="11_056E185E447F09D1459F0756846E037F215A76AE" xr6:coauthVersionLast="47" xr6:coauthVersionMax="47" xr10:uidLastSave="{00000000-0000-0000-0000-000000000000}"/>
  <bookViews>
    <workbookView xWindow="-108" yWindow="-108" windowWidth="23256" windowHeight="12456" firstSheet="2" activeTab="2" xr2:uid="{00000000-000D-0000-FFFF-FFFF00000000}"/>
  </bookViews>
  <sheets>
    <sheet name="README" sheetId="1" r:id="rId1"/>
    <sheet name="Top 25 (Pop&gt; 200K)" sheetId="2" r:id="rId2"/>
    <sheet name="Top 25 (Pop &gt;300K)" sheetId="3" r:id="rId3"/>
    <sheet name="Top 50 (Pop &gt;100K)" sheetId="4" r:id="rId4"/>
    <sheet name="Local Coroner Data" sheetId="5" r:id="rId5"/>
    <sheet name="Reconciliation" sheetId="6" r:id="rId6"/>
    <sheet name="Full Ranking" sheetId="7" r:id="rId7"/>
    <sheet name="Spokane Trend" sheetId="8" r:id="rId8"/>
    <sheet name="Spokane Coroner Update" sheetId="9" r:id="rId9"/>
    <sheet name="CDC Source Data" sheetId="10" r:id="rId10"/>
    <sheet name="Census Source Data"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9" l="1"/>
  <c r="B16" i="9" s="1"/>
  <c r="B10" i="9"/>
  <c r="B12" i="9" s="1"/>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E8" i="8"/>
  <c r="AY676" i="7"/>
  <c r="AX676" i="7"/>
  <c r="AW676" i="7"/>
  <c r="AV676" i="7"/>
  <c r="AU676" i="7"/>
  <c r="AT676" i="7"/>
  <c r="AS676" i="7"/>
  <c r="AR676" i="7"/>
  <c r="AQ676" i="7"/>
  <c r="AP676"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F676" i="7"/>
  <c r="E676" i="7"/>
  <c r="D676" i="7"/>
  <c r="C676" i="7"/>
  <c r="B676" i="7"/>
  <c r="AY675" i="7"/>
  <c r="AX675" i="7"/>
  <c r="AW675" i="7"/>
  <c r="AV675" i="7"/>
  <c r="AU675" i="7"/>
  <c r="AT675" i="7"/>
  <c r="AS675" i="7"/>
  <c r="AR675" i="7"/>
  <c r="AQ675" i="7"/>
  <c r="AP675"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C675" i="7"/>
  <c r="B675" i="7"/>
  <c r="AY674" i="7"/>
  <c r="AX674" i="7"/>
  <c r="AW674" i="7"/>
  <c r="AV674" i="7"/>
  <c r="AU674" i="7"/>
  <c r="AT674" i="7"/>
  <c r="AS674" i="7"/>
  <c r="AR674" i="7"/>
  <c r="AQ674" i="7"/>
  <c r="AP674"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C674" i="7"/>
  <c r="B674" i="7"/>
  <c r="AY673" i="7"/>
  <c r="AX673" i="7"/>
  <c r="AW673" i="7"/>
  <c r="AV673" i="7"/>
  <c r="AU673" i="7"/>
  <c r="AT673" i="7"/>
  <c r="AS673" i="7"/>
  <c r="AR673" i="7"/>
  <c r="AQ673" i="7"/>
  <c r="AP673"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C673" i="7"/>
  <c r="B673" i="7"/>
  <c r="AY672" i="7"/>
  <c r="AX672" i="7"/>
  <c r="AW672" i="7"/>
  <c r="AV672" i="7"/>
  <c r="AU672" i="7"/>
  <c r="AT672" i="7"/>
  <c r="AS672" i="7"/>
  <c r="AR672" i="7"/>
  <c r="AQ672" i="7"/>
  <c r="AP672"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C672" i="7"/>
  <c r="B672" i="7"/>
  <c r="AY671" i="7"/>
  <c r="AX671" i="7"/>
  <c r="AW671" i="7"/>
  <c r="AV671" i="7"/>
  <c r="AU671" i="7"/>
  <c r="AT671" i="7"/>
  <c r="AS671" i="7"/>
  <c r="AR671" i="7"/>
  <c r="AQ671" i="7"/>
  <c r="AP671"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C671" i="7"/>
  <c r="B671" i="7"/>
  <c r="AY670" i="7"/>
  <c r="AX670" i="7"/>
  <c r="AW670" i="7"/>
  <c r="AV670" i="7"/>
  <c r="AU670" i="7"/>
  <c r="AT670" i="7"/>
  <c r="AS670" i="7"/>
  <c r="AR670" i="7"/>
  <c r="AQ670" i="7"/>
  <c r="AP670"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C670" i="7"/>
  <c r="B670" i="7"/>
  <c r="AY669" i="7"/>
  <c r="AX669" i="7"/>
  <c r="AW669" i="7"/>
  <c r="AV669" i="7"/>
  <c r="AU669" i="7"/>
  <c r="AT669" i="7"/>
  <c r="AS669" i="7"/>
  <c r="AR669" i="7"/>
  <c r="AQ669" i="7"/>
  <c r="AP669"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C669" i="7"/>
  <c r="B669" i="7"/>
  <c r="AY668" i="7"/>
  <c r="AX668" i="7"/>
  <c r="AW668" i="7"/>
  <c r="AV668" i="7"/>
  <c r="AU668" i="7"/>
  <c r="AT668" i="7"/>
  <c r="AS668" i="7"/>
  <c r="AR668" i="7"/>
  <c r="AQ668" i="7"/>
  <c r="AP668"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C668" i="7"/>
  <c r="B668" i="7"/>
  <c r="AY667" i="7"/>
  <c r="AX667" i="7"/>
  <c r="AW667" i="7"/>
  <c r="AV667" i="7"/>
  <c r="AU667" i="7"/>
  <c r="AT667" i="7"/>
  <c r="AS667" i="7"/>
  <c r="AR667" i="7"/>
  <c r="AQ667" i="7"/>
  <c r="AP667"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C667" i="7"/>
  <c r="B667" i="7"/>
  <c r="AY666" i="7"/>
  <c r="AX666" i="7"/>
  <c r="AW666" i="7"/>
  <c r="AV666" i="7"/>
  <c r="AU666" i="7"/>
  <c r="AT666" i="7"/>
  <c r="AS666" i="7"/>
  <c r="AR666" i="7"/>
  <c r="AQ666" i="7"/>
  <c r="AP666"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C666" i="7"/>
  <c r="B666" i="7"/>
  <c r="AY665" i="7"/>
  <c r="AX665" i="7"/>
  <c r="AW665" i="7"/>
  <c r="AV665" i="7"/>
  <c r="AU665" i="7"/>
  <c r="AT665" i="7"/>
  <c r="AS665" i="7"/>
  <c r="AR665" i="7"/>
  <c r="AQ665" i="7"/>
  <c r="AP665"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C665" i="7"/>
  <c r="B665" i="7"/>
  <c r="AY664" i="7"/>
  <c r="AX664" i="7"/>
  <c r="AW664" i="7"/>
  <c r="AV664" i="7"/>
  <c r="AU664" i="7"/>
  <c r="AT664" i="7"/>
  <c r="AS664" i="7"/>
  <c r="AR664" i="7"/>
  <c r="AQ664" i="7"/>
  <c r="AP664"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C664" i="7"/>
  <c r="B664" i="7"/>
  <c r="AY663" i="7"/>
  <c r="AX663" i="7"/>
  <c r="AW663" i="7"/>
  <c r="AV663" i="7"/>
  <c r="AU663" i="7"/>
  <c r="AT663" i="7"/>
  <c r="AS663" i="7"/>
  <c r="AR663" i="7"/>
  <c r="AQ663" i="7"/>
  <c r="AP663"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C663" i="7"/>
  <c r="B663" i="7"/>
  <c r="AY662" i="7"/>
  <c r="AX662" i="7"/>
  <c r="AW662" i="7"/>
  <c r="AV662" i="7"/>
  <c r="AU662" i="7"/>
  <c r="AT662" i="7"/>
  <c r="AS662" i="7"/>
  <c r="AR662" i="7"/>
  <c r="AQ662" i="7"/>
  <c r="AP662"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C662" i="7"/>
  <c r="B662" i="7"/>
  <c r="AY661" i="7"/>
  <c r="AX661" i="7"/>
  <c r="AW661" i="7"/>
  <c r="AV661" i="7"/>
  <c r="AU661" i="7"/>
  <c r="AT661" i="7"/>
  <c r="AS661" i="7"/>
  <c r="AR661" i="7"/>
  <c r="AQ661" i="7"/>
  <c r="AP661"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C661" i="7"/>
  <c r="B661" i="7"/>
  <c r="AY660" i="7"/>
  <c r="AX660" i="7"/>
  <c r="AW660" i="7"/>
  <c r="AV660" i="7"/>
  <c r="AU660" i="7"/>
  <c r="AT660" i="7"/>
  <c r="AS660" i="7"/>
  <c r="AR660" i="7"/>
  <c r="AQ660" i="7"/>
  <c r="AP660"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C660" i="7"/>
  <c r="B660" i="7"/>
  <c r="AY659" i="7"/>
  <c r="AX659" i="7"/>
  <c r="AW659" i="7"/>
  <c r="AV659" i="7"/>
  <c r="AU659" i="7"/>
  <c r="AT659" i="7"/>
  <c r="AS659" i="7"/>
  <c r="AR659" i="7"/>
  <c r="AQ659" i="7"/>
  <c r="AP659"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C659" i="7"/>
  <c r="B659" i="7"/>
  <c r="AY658" i="7"/>
  <c r="AX658" i="7"/>
  <c r="AW658" i="7"/>
  <c r="AV658" i="7"/>
  <c r="AU658" i="7"/>
  <c r="AT658" i="7"/>
  <c r="AS658" i="7"/>
  <c r="AR658" i="7"/>
  <c r="AQ658" i="7"/>
  <c r="AP658"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C658" i="7"/>
  <c r="B658" i="7"/>
  <c r="AY657" i="7"/>
  <c r="AX657" i="7"/>
  <c r="AW657" i="7"/>
  <c r="AV657" i="7"/>
  <c r="AU657" i="7"/>
  <c r="AT657" i="7"/>
  <c r="AS657" i="7"/>
  <c r="AR657" i="7"/>
  <c r="AQ657" i="7"/>
  <c r="AP657"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C657" i="7"/>
  <c r="B657" i="7"/>
  <c r="AY656" i="7"/>
  <c r="AX656" i="7"/>
  <c r="AW656" i="7"/>
  <c r="AV656" i="7"/>
  <c r="AU656" i="7"/>
  <c r="AT656" i="7"/>
  <c r="AS656" i="7"/>
  <c r="AR656" i="7"/>
  <c r="AQ656" i="7"/>
  <c r="AP656"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C656" i="7"/>
  <c r="B656" i="7"/>
  <c r="AY655" i="7"/>
  <c r="AX655" i="7"/>
  <c r="AW655" i="7"/>
  <c r="AV655" i="7"/>
  <c r="AU655" i="7"/>
  <c r="AT655" i="7"/>
  <c r="AS655" i="7"/>
  <c r="AR655" i="7"/>
  <c r="AQ655" i="7"/>
  <c r="AP655"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C655" i="7"/>
  <c r="B655" i="7"/>
  <c r="AY654" i="7"/>
  <c r="AX654" i="7"/>
  <c r="AW654" i="7"/>
  <c r="AV654" i="7"/>
  <c r="AU654" i="7"/>
  <c r="AT654" i="7"/>
  <c r="AS654" i="7"/>
  <c r="AR654" i="7"/>
  <c r="AQ654" i="7"/>
  <c r="AP654"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C654" i="7"/>
  <c r="B654" i="7"/>
  <c r="AY653" i="7"/>
  <c r="AX653" i="7"/>
  <c r="AW653" i="7"/>
  <c r="AV653" i="7"/>
  <c r="AU653" i="7"/>
  <c r="AT653" i="7"/>
  <c r="AS653" i="7"/>
  <c r="AR653" i="7"/>
  <c r="AQ653" i="7"/>
  <c r="AP653"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C653" i="7"/>
  <c r="B653" i="7"/>
  <c r="AY652" i="7"/>
  <c r="AX652" i="7"/>
  <c r="AW652" i="7"/>
  <c r="AV652" i="7"/>
  <c r="AU652" i="7"/>
  <c r="AT652" i="7"/>
  <c r="AS652" i="7"/>
  <c r="AR652" i="7"/>
  <c r="AQ652" i="7"/>
  <c r="AP652"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C652" i="7"/>
  <c r="B652" i="7"/>
  <c r="AY651" i="7"/>
  <c r="AX651" i="7"/>
  <c r="AW651" i="7"/>
  <c r="AV651" i="7"/>
  <c r="AU651" i="7"/>
  <c r="AT651" i="7"/>
  <c r="AS651" i="7"/>
  <c r="AR651" i="7"/>
  <c r="AQ651" i="7"/>
  <c r="AP651"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C651" i="7"/>
  <c r="B651" i="7"/>
  <c r="AY650" i="7"/>
  <c r="AX650" i="7"/>
  <c r="AW650" i="7"/>
  <c r="AV650" i="7"/>
  <c r="AU650" i="7"/>
  <c r="AT650" i="7"/>
  <c r="AS650" i="7"/>
  <c r="AR650" i="7"/>
  <c r="AQ650" i="7"/>
  <c r="AP650"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C650" i="7"/>
  <c r="B650" i="7"/>
  <c r="AY649" i="7"/>
  <c r="AX649" i="7"/>
  <c r="AW649" i="7"/>
  <c r="AV649" i="7"/>
  <c r="AU649" i="7"/>
  <c r="AT649" i="7"/>
  <c r="AS649" i="7"/>
  <c r="AR649" i="7"/>
  <c r="AQ649" i="7"/>
  <c r="AP649"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C649" i="7"/>
  <c r="B649" i="7"/>
  <c r="AY648" i="7"/>
  <c r="AX648" i="7"/>
  <c r="AW648" i="7"/>
  <c r="AV648" i="7"/>
  <c r="AU648" i="7"/>
  <c r="AT648" i="7"/>
  <c r="AS648" i="7"/>
  <c r="AR648" i="7"/>
  <c r="AQ648" i="7"/>
  <c r="AP648"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E648" i="7"/>
  <c r="D648" i="7"/>
  <c r="C648" i="7"/>
  <c r="B648" i="7"/>
  <c r="AY647" i="7"/>
  <c r="AX647" i="7"/>
  <c r="AW647" i="7"/>
  <c r="AV647" i="7"/>
  <c r="AU647" i="7"/>
  <c r="AT647" i="7"/>
  <c r="AS647" i="7"/>
  <c r="AR647" i="7"/>
  <c r="AQ647" i="7"/>
  <c r="AP647"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E647" i="7"/>
  <c r="D647" i="7"/>
  <c r="C647" i="7"/>
  <c r="B647" i="7"/>
  <c r="AY646" i="7"/>
  <c r="AX646" i="7"/>
  <c r="AW646" i="7"/>
  <c r="AV646" i="7"/>
  <c r="AU646" i="7"/>
  <c r="AT646" i="7"/>
  <c r="AS646" i="7"/>
  <c r="AR646" i="7"/>
  <c r="AQ646" i="7"/>
  <c r="AP646"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E646" i="7"/>
  <c r="D646" i="7"/>
  <c r="C646" i="7"/>
  <c r="B646" i="7"/>
  <c r="AY645" i="7"/>
  <c r="AX645" i="7"/>
  <c r="AW645" i="7"/>
  <c r="AV645" i="7"/>
  <c r="AU645" i="7"/>
  <c r="AT645" i="7"/>
  <c r="AS645" i="7"/>
  <c r="AR645" i="7"/>
  <c r="AQ645" i="7"/>
  <c r="AP645"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E645" i="7"/>
  <c r="D645" i="7"/>
  <c r="C645" i="7"/>
  <c r="B645" i="7"/>
  <c r="AY644" i="7"/>
  <c r="AX644" i="7"/>
  <c r="AW644" i="7"/>
  <c r="AV644" i="7"/>
  <c r="AU644" i="7"/>
  <c r="AT644" i="7"/>
  <c r="AS644" i="7"/>
  <c r="AR644" i="7"/>
  <c r="AQ644" i="7"/>
  <c r="AP644"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E644" i="7"/>
  <c r="D644" i="7"/>
  <c r="C644" i="7"/>
  <c r="B644" i="7"/>
  <c r="AY643" i="7"/>
  <c r="AX643" i="7"/>
  <c r="AW643" i="7"/>
  <c r="AV643" i="7"/>
  <c r="AU643" i="7"/>
  <c r="AT643" i="7"/>
  <c r="AS643" i="7"/>
  <c r="AR643" i="7"/>
  <c r="AQ643" i="7"/>
  <c r="AP643"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C643" i="7"/>
  <c r="B643" i="7"/>
  <c r="AY642" i="7"/>
  <c r="AX642" i="7"/>
  <c r="AW642" i="7"/>
  <c r="AV642" i="7"/>
  <c r="AU642" i="7"/>
  <c r="AT642" i="7"/>
  <c r="AS642" i="7"/>
  <c r="AR642" i="7"/>
  <c r="AQ642" i="7"/>
  <c r="AP642"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C642" i="7"/>
  <c r="B642" i="7"/>
  <c r="AY641" i="7"/>
  <c r="AX641" i="7"/>
  <c r="AW641" i="7"/>
  <c r="AV641" i="7"/>
  <c r="AU641" i="7"/>
  <c r="AT641" i="7"/>
  <c r="AS641" i="7"/>
  <c r="AR641" i="7"/>
  <c r="AQ641" i="7"/>
  <c r="AP641"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C641" i="7"/>
  <c r="B641" i="7"/>
  <c r="AY640" i="7"/>
  <c r="AX640" i="7"/>
  <c r="AW640" i="7"/>
  <c r="AV640" i="7"/>
  <c r="AU640" i="7"/>
  <c r="AT640" i="7"/>
  <c r="AS640" i="7"/>
  <c r="AR640" i="7"/>
  <c r="AQ640" i="7"/>
  <c r="AP640"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C640" i="7"/>
  <c r="B640" i="7"/>
  <c r="AY639" i="7"/>
  <c r="AX639" i="7"/>
  <c r="AW639" i="7"/>
  <c r="AV639" i="7"/>
  <c r="AU639" i="7"/>
  <c r="AT639" i="7"/>
  <c r="AS639" i="7"/>
  <c r="AR639" i="7"/>
  <c r="AQ639" i="7"/>
  <c r="AP639"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C639" i="7"/>
  <c r="B639" i="7"/>
  <c r="AY638" i="7"/>
  <c r="AX638" i="7"/>
  <c r="AW638" i="7"/>
  <c r="AV638" i="7"/>
  <c r="AU638" i="7"/>
  <c r="AT638" i="7"/>
  <c r="AS638" i="7"/>
  <c r="AR638" i="7"/>
  <c r="AQ638" i="7"/>
  <c r="AP638"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C638" i="7"/>
  <c r="B638" i="7"/>
  <c r="AY637" i="7"/>
  <c r="AX637" i="7"/>
  <c r="AW637" i="7"/>
  <c r="AV637" i="7"/>
  <c r="AU637" i="7"/>
  <c r="AT637" i="7"/>
  <c r="AS637" i="7"/>
  <c r="AR637" i="7"/>
  <c r="AQ637" i="7"/>
  <c r="AP637"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C637" i="7"/>
  <c r="B637" i="7"/>
  <c r="AY636" i="7"/>
  <c r="AX636" i="7"/>
  <c r="AW636" i="7"/>
  <c r="AV636" i="7"/>
  <c r="AU636" i="7"/>
  <c r="AT636" i="7"/>
  <c r="AS636" i="7"/>
  <c r="AR636" i="7"/>
  <c r="AQ636" i="7"/>
  <c r="AP636"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C636" i="7"/>
  <c r="B636" i="7"/>
  <c r="AY635" i="7"/>
  <c r="AX635" i="7"/>
  <c r="AW635" i="7"/>
  <c r="AV635" i="7"/>
  <c r="AU635" i="7"/>
  <c r="AT635" i="7"/>
  <c r="AS635" i="7"/>
  <c r="AR635" i="7"/>
  <c r="AQ635" i="7"/>
  <c r="AP635"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C635" i="7"/>
  <c r="B635" i="7"/>
  <c r="AY634" i="7"/>
  <c r="AX634" i="7"/>
  <c r="AW634" i="7"/>
  <c r="AV634" i="7"/>
  <c r="AU634" i="7"/>
  <c r="AT634" i="7"/>
  <c r="AS634" i="7"/>
  <c r="AR634" i="7"/>
  <c r="AQ634" i="7"/>
  <c r="AP634"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C634" i="7"/>
  <c r="B634" i="7"/>
  <c r="AY633" i="7"/>
  <c r="AX633" i="7"/>
  <c r="AW633" i="7"/>
  <c r="AV633" i="7"/>
  <c r="AU633" i="7"/>
  <c r="AT633" i="7"/>
  <c r="AS633" i="7"/>
  <c r="AR633" i="7"/>
  <c r="AQ633" i="7"/>
  <c r="AP633"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C633" i="7"/>
  <c r="B633" i="7"/>
  <c r="AY632" i="7"/>
  <c r="AX632" i="7"/>
  <c r="AW632" i="7"/>
  <c r="AV632" i="7"/>
  <c r="AU632" i="7"/>
  <c r="AT632" i="7"/>
  <c r="AS632" i="7"/>
  <c r="AR632" i="7"/>
  <c r="AQ632" i="7"/>
  <c r="AP632"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C632" i="7"/>
  <c r="B632" i="7"/>
  <c r="AY631" i="7"/>
  <c r="AX631" i="7"/>
  <c r="AW631" i="7"/>
  <c r="AV631" i="7"/>
  <c r="AU631" i="7"/>
  <c r="AT631" i="7"/>
  <c r="AS631" i="7"/>
  <c r="AR631" i="7"/>
  <c r="AQ631" i="7"/>
  <c r="AP631"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C631" i="7"/>
  <c r="B631" i="7"/>
  <c r="AY630" i="7"/>
  <c r="AX630" i="7"/>
  <c r="AW630" i="7"/>
  <c r="AV630" i="7"/>
  <c r="AU630" i="7"/>
  <c r="AT630" i="7"/>
  <c r="AS630" i="7"/>
  <c r="AR630" i="7"/>
  <c r="AQ630" i="7"/>
  <c r="AP630"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C630" i="7"/>
  <c r="B630" i="7"/>
  <c r="AY629" i="7"/>
  <c r="AX629" i="7"/>
  <c r="AW629" i="7"/>
  <c r="AV629" i="7"/>
  <c r="AU629" i="7"/>
  <c r="AT629" i="7"/>
  <c r="AS629" i="7"/>
  <c r="AR629" i="7"/>
  <c r="AQ629" i="7"/>
  <c r="AP629"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C629" i="7"/>
  <c r="B629" i="7"/>
  <c r="AY628" i="7"/>
  <c r="AX628" i="7"/>
  <c r="AW628" i="7"/>
  <c r="AV628" i="7"/>
  <c r="AU628" i="7"/>
  <c r="AT628" i="7"/>
  <c r="AS628" i="7"/>
  <c r="AR628" i="7"/>
  <c r="AQ628" i="7"/>
  <c r="AP628"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C628" i="7"/>
  <c r="B628" i="7"/>
  <c r="AY627" i="7"/>
  <c r="AX627" i="7"/>
  <c r="AW627" i="7"/>
  <c r="AV627" i="7"/>
  <c r="AU627" i="7"/>
  <c r="AT627" i="7"/>
  <c r="AS627" i="7"/>
  <c r="AR627" i="7"/>
  <c r="AQ627" i="7"/>
  <c r="AP627"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C627" i="7"/>
  <c r="B627" i="7"/>
  <c r="AY626" i="7"/>
  <c r="AX626" i="7"/>
  <c r="AW626" i="7"/>
  <c r="AV626" i="7"/>
  <c r="AU626" i="7"/>
  <c r="AT626" i="7"/>
  <c r="AS626" i="7"/>
  <c r="AR626" i="7"/>
  <c r="AQ626" i="7"/>
  <c r="AP626" i="7"/>
  <c r="AO626" i="7"/>
  <c r="AN626" i="7"/>
  <c r="AM626" i="7"/>
  <c r="AL626" i="7"/>
  <c r="AK626" i="7"/>
  <c r="AJ626" i="7"/>
  <c r="AI626" i="7"/>
  <c r="AH626" i="7"/>
  <c r="AG626" i="7"/>
  <c r="AF626" i="7"/>
  <c r="AE626" i="7"/>
  <c r="AD626" i="7"/>
  <c r="C626" i="7"/>
  <c r="B626" i="7"/>
  <c r="AY625" i="7"/>
  <c r="AX625" i="7"/>
  <c r="AW625" i="7"/>
  <c r="AV625" i="7"/>
  <c r="AU625" i="7"/>
  <c r="AT625" i="7"/>
  <c r="AS625" i="7"/>
  <c r="AR625" i="7"/>
  <c r="AQ625" i="7"/>
  <c r="AP625" i="7"/>
  <c r="AO625" i="7"/>
  <c r="AN625" i="7"/>
  <c r="AM625" i="7"/>
  <c r="AL625" i="7"/>
  <c r="AK625" i="7"/>
  <c r="AJ625" i="7"/>
  <c r="AI625" i="7"/>
  <c r="AH625" i="7"/>
  <c r="C625" i="7"/>
  <c r="B625" i="7"/>
  <c r="AY624" i="7"/>
  <c r="AX624" i="7"/>
  <c r="AW624" i="7"/>
  <c r="AV624" i="7"/>
  <c r="AU624" i="7"/>
  <c r="AT624" i="7"/>
  <c r="AS624" i="7"/>
  <c r="AR624" i="7"/>
  <c r="AQ624" i="7"/>
  <c r="AP624" i="7"/>
  <c r="AO624" i="7"/>
  <c r="AN624" i="7"/>
  <c r="AM624" i="7"/>
  <c r="AL624" i="7"/>
  <c r="AK624" i="7"/>
  <c r="AJ624" i="7"/>
  <c r="AI624" i="7"/>
  <c r="AH624" i="7"/>
  <c r="C624" i="7"/>
  <c r="B624" i="7"/>
  <c r="AY623" i="7"/>
  <c r="AX623" i="7"/>
  <c r="AW623" i="7"/>
  <c r="AV623" i="7"/>
  <c r="AU623" i="7"/>
  <c r="AT623" i="7"/>
  <c r="AS623" i="7"/>
  <c r="AR623" i="7"/>
  <c r="AQ623" i="7"/>
  <c r="AP623" i="7"/>
  <c r="AO623" i="7"/>
  <c r="AN623" i="7"/>
  <c r="AM623" i="7"/>
  <c r="AL623" i="7"/>
  <c r="AK623" i="7"/>
  <c r="AJ623" i="7"/>
  <c r="AI623" i="7"/>
  <c r="AH623" i="7"/>
  <c r="C623" i="7"/>
  <c r="B623" i="7"/>
  <c r="AY622" i="7"/>
  <c r="AX622" i="7"/>
  <c r="AW622" i="7"/>
  <c r="AV622" i="7"/>
  <c r="AU622" i="7"/>
  <c r="AT622" i="7"/>
  <c r="AS622" i="7"/>
  <c r="AR622" i="7"/>
  <c r="AQ622" i="7"/>
  <c r="AP622" i="7"/>
  <c r="AO622" i="7"/>
  <c r="AN622" i="7"/>
  <c r="AM622" i="7"/>
  <c r="AL622" i="7"/>
  <c r="AK622" i="7"/>
  <c r="AJ622" i="7"/>
  <c r="AI622" i="7"/>
  <c r="AH622" i="7"/>
  <c r="C622" i="7"/>
  <c r="B622" i="7"/>
  <c r="AY621" i="7"/>
  <c r="AX621" i="7"/>
  <c r="AW621" i="7"/>
  <c r="AV621" i="7"/>
  <c r="AU621" i="7"/>
  <c r="AT621" i="7"/>
  <c r="AS621" i="7"/>
  <c r="AR621" i="7"/>
  <c r="AQ621" i="7"/>
  <c r="AP621" i="7"/>
  <c r="AO621" i="7"/>
  <c r="AN621" i="7"/>
  <c r="AM621" i="7"/>
  <c r="AL621" i="7"/>
  <c r="AK621" i="7"/>
  <c r="AJ621" i="7"/>
  <c r="AI621" i="7"/>
  <c r="AH621" i="7"/>
  <c r="C621" i="7"/>
  <c r="B621" i="7"/>
  <c r="AY620" i="7"/>
  <c r="AX620" i="7"/>
  <c r="AW620" i="7"/>
  <c r="AV620" i="7"/>
  <c r="AU620" i="7"/>
  <c r="AT620" i="7"/>
  <c r="AS620" i="7"/>
  <c r="AR620" i="7"/>
  <c r="AQ620" i="7"/>
  <c r="AP620" i="7"/>
  <c r="AO620" i="7"/>
  <c r="AN620" i="7"/>
  <c r="AM620" i="7"/>
  <c r="AL620" i="7"/>
  <c r="AK620" i="7"/>
  <c r="AJ620" i="7"/>
  <c r="AI620" i="7"/>
  <c r="AH620" i="7"/>
  <c r="C620" i="7"/>
  <c r="B620" i="7"/>
  <c r="AY619" i="7"/>
  <c r="AX619" i="7"/>
  <c r="AW619" i="7"/>
  <c r="AV619" i="7"/>
  <c r="AU619" i="7"/>
  <c r="AT619" i="7"/>
  <c r="AS619" i="7"/>
  <c r="AR619" i="7"/>
  <c r="AQ619" i="7"/>
  <c r="AP619" i="7"/>
  <c r="AO619" i="7"/>
  <c r="AN619" i="7"/>
  <c r="AM619" i="7"/>
  <c r="AL619" i="7"/>
  <c r="AK619" i="7"/>
  <c r="AJ619" i="7"/>
  <c r="AI619" i="7"/>
  <c r="AH619" i="7"/>
  <c r="C619" i="7"/>
  <c r="B619" i="7"/>
  <c r="AY618" i="7"/>
  <c r="AX618" i="7"/>
  <c r="AW618" i="7"/>
  <c r="AV618" i="7"/>
  <c r="AU618" i="7"/>
  <c r="AT618" i="7"/>
  <c r="AS618" i="7"/>
  <c r="AR618" i="7"/>
  <c r="AQ618" i="7"/>
  <c r="AP618" i="7"/>
  <c r="AO618" i="7"/>
  <c r="AN618" i="7"/>
  <c r="AM618" i="7"/>
  <c r="AL618" i="7"/>
  <c r="AK618" i="7"/>
  <c r="AJ618" i="7"/>
  <c r="AI618" i="7"/>
  <c r="AH618" i="7"/>
  <c r="C618" i="7"/>
  <c r="B618" i="7"/>
  <c r="AY617" i="7"/>
  <c r="AX617" i="7"/>
  <c r="AW617" i="7"/>
  <c r="AV617" i="7"/>
  <c r="AU617" i="7"/>
  <c r="AT617" i="7"/>
  <c r="AS617" i="7"/>
  <c r="AR617" i="7"/>
  <c r="AQ617" i="7"/>
  <c r="AP617" i="7"/>
  <c r="AO617" i="7"/>
  <c r="AN617" i="7"/>
  <c r="AM617" i="7"/>
  <c r="AL617" i="7"/>
  <c r="AK617" i="7"/>
  <c r="AJ617" i="7"/>
  <c r="AI617" i="7"/>
  <c r="AH617" i="7"/>
  <c r="C617" i="7"/>
  <c r="B617" i="7"/>
  <c r="AY616" i="7"/>
  <c r="AX616" i="7"/>
  <c r="AW616" i="7"/>
  <c r="AV616" i="7"/>
  <c r="AU616" i="7"/>
  <c r="AT616" i="7"/>
  <c r="AS616" i="7"/>
  <c r="AR616" i="7"/>
  <c r="AQ616" i="7"/>
  <c r="AP616" i="7"/>
  <c r="AO616" i="7"/>
  <c r="AN616" i="7"/>
  <c r="AM616" i="7"/>
  <c r="AL616" i="7"/>
  <c r="AK616" i="7"/>
  <c r="AJ616" i="7"/>
  <c r="AI616" i="7"/>
  <c r="AH616" i="7"/>
  <c r="C616" i="7"/>
  <c r="B616" i="7"/>
  <c r="AY615" i="7"/>
  <c r="AX615" i="7"/>
  <c r="AW615" i="7"/>
  <c r="AV615" i="7"/>
  <c r="AU615" i="7"/>
  <c r="AT615" i="7"/>
  <c r="AS615" i="7"/>
  <c r="AR615" i="7"/>
  <c r="AQ615" i="7"/>
  <c r="AP615" i="7"/>
  <c r="AO615" i="7"/>
  <c r="AN615" i="7"/>
  <c r="AM615" i="7"/>
  <c r="AL615" i="7"/>
  <c r="AK615" i="7"/>
  <c r="AJ615" i="7"/>
  <c r="AI615" i="7"/>
  <c r="AH615" i="7"/>
  <c r="C615" i="7"/>
  <c r="B615" i="7"/>
  <c r="AY614" i="7"/>
  <c r="AX614" i="7"/>
  <c r="AW614" i="7"/>
  <c r="AV614" i="7"/>
  <c r="AU614" i="7"/>
  <c r="AT614" i="7"/>
  <c r="AS614" i="7"/>
  <c r="AR614" i="7"/>
  <c r="AQ614" i="7"/>
  <c r="AP614" i="7"/>
  <c r="AO614" i="7"/>
  <c r="AN614" i="7"/>
  <c r="AM614" i="7"/>
  <c r="AL614" i="7"/>
  <c r="AK614" i="7"/>
  <c r="AJ614" i="7"/>
  <c r="AI614" i="7"/>
  <c r="AH614" i="7"/>
  <c r="C614" i="7"/>
  <c r="B614" i="7"/>
  <c r="AY613" i="7"/>
  <c r="AX613" i="7"/>
  <c r="AW613" i="7"/>
  <c r="AV613" i="7"/>
  <c r="AU613" i="7"/>
  <c r="AT613" i="7"/>
  <c r="AS613" i="7"/>
  <c r="AR613" i="7"/>
  <c r="AQ613" i="7"/>
  <c r="AP613" i="7"/>
  <c r="AO613" i="7"/>
  <c r="AN613" i="7"/>
  <c r="AM613" i="7"/>
  <c r="AL613" i="7"/>
  <c r="AK613" i="7"/>
  <c r="AJ613" i="7"/>
  <c r="AI613" i="7"/>
  <c r="AH613" i="7"/>
  <c r="C613" i="7"/>
  <c r="B613" i="7"/>
  <c r="AY612" i="7"/>
  <c r="AX612" i="7"/>
  <c r="AW612" i="7"/>
  <c r="AV612" i="7"/>
  <c r="AU612" i="7"/>
  <c r="AT612" i="7"/>
  <c r="AS612" i="7"/>
  <c r="AR612" i="7"/>
  <c r="AQ612" i="7"/>
  <c r="AP612" i="7"/>
  <c r="AO612" i="7"/>
  <c r="AN612" i="7"/>
  <c r="AM612" i="7"/>
  <c r="AL612" i="7"/>
  <c r="AK612" i="7"/>
  <c r="AJ612" i="7"/>
  <c r="AI612" i="7"/>
  <c r="AH612" i="7"/>
  <c r="C612" i="7"/>
  <c r="B612" i="7"/>
  <c r="AY611" i="7"/>
  <c r="AX611" i="7"/>
  <c r="AW611" i="7"/>
  <c r="AV611" i="7"/>
  <c r="AU611" i="7"/>
  <c r="AT611" i="7"/>
  <c r="AS611" i="7"/>
  <c r="AR611" i="7"/>
  <c r="AQ611" i="7"/>
  <c r="AP611" i="7"/>
  <c r="AO611" i="7"/>
  <c r="AN611" i="7"/>
  <c r="AM611" i="7"/>
  <c r="AL611" i="7"/>
  <c r="AK611" i="7"/>
  <c r="AJ611" i="7"/>
  <c r="AI611" i="7"/>
  <c r="AH611" i="7"/>
  <c r="C611" i="7"/>
  <c r="B611" i="7"/>
  <c r="AY610" i="7"/>
  <c r="AX610" i="7"/>
  <c r="AW610" i="7"/>
  <c r="AV610" i="7"/>
  <c r="AU610" i="7"/>
  <c r="AT610" i="7"/>
  <c r="AS610" i="7"/>
  <c r="AR610" i="7"/>
  <c r="AQ610" i="7"/>
  <c r="AP610" i="7"/>
  <c r="AO610" i="7"/>
  <c r="AN610" i="7"/>
  <c r="AM610" i="7"/>
  <c r="AL610" i="7"/>
  <c r="AK610" i="7"/>
  <c r="AJ610" i="7"/>
  <c r="AI610" i="7"/>
  <c r="AH610" i="7"/>
  <c r="C610" i="7"/>
  <c r="B610" i="7"/>
  <c r="AY609" i="7"/>
  <c r="AX609" i="7"/>
  <c r="AW609" i="7"/>
  <c r="AV609" i="7"/>
  <c r="AU609" i="7"/>
  <c r="AT609" i="7"/>
  <c r="AS609" i="7"/>
  <c r="AR609" i="7"/>
  <c r="AQ609" i="7"/>
  <c r="AP609" i="7"/>
  <c r="AO609" i="7"/>
  <c r="AN609" i="7"/>
  <c r="AM609" i="7"/>
  <c r="AL609" i="7"/>
  <c r="AK609" i="7"/>
  <c r="AJ609" i="7"/>
  <c r="AI609" i="7"/>
  <c r="AH609" i="7"/>
  <c r="C609" i="7"/>
  <c r="B609" i="7"/>
  <c r="AY608" i="7"/>
  <c r="AX608" i="7"/>
  <c r="AW608" i="7"/>
  <c r="AV608" i="7"/>
  <c r="AU608" i="7"/>
  <c r="AT608" i="7"/>
  <c r="AS608" i="7"/>
  <c r="AR608" i="7"/>
  <c r="AQ608" i="7"/>
  <c r="AP608" i="7"/>
  <c r="AO608" i="7"/>
  <c r="AN608" i="7"/>
  <c r="AM608" i="7"/>
  <c r="AL608" i="7"/>
  <c r="AK608" i="7"/>
  <c r="AJ608" i="7"/>
  <c r="AI608" i="7"/>
  <c r="AH608" i="7"/>
  <c r="C608" i="7"/>
  <c r="B608" i="7"/>
  <c r="AY607" i="7"/>
  <c r="AX607" i="7"/>
  <c r="AW607" i="7"/>
  <c r="AV607" i="7"/>
  <c r="AU607" i="7"/>
  <c r="AT607" i="7"/>
  <c r="AS607" i="7"/>
  <c r="AR607" i="7"/>
  <c r="AQ607" i="7"/>
  <c r="AP607" i="7"/>
  <c r="AO607" i="7"/>
  <c r="AN607" i="7"/>
  <c r="AM607" i="7"/>
  <c r="AL607" i="7"/>
  <c r="AK607" i="7"/>
  <c r="AJ607" i="7"/>
  <c r="AI607" i="7"/>
  <c r="AH607" i="7"/>
  <c r="C607" i="7"/>
  <c r="B607" i="7"/>
  <c r="H605" i="7"/>
  <c r="G605" i="7"/>
  <c r="F605" i="7"/>
  <c r="E605" i="7"/>
  <c r="D605" i="7"/>
  <c r="H603" i="7"/>
  <c r="G603" i="7"/>
  <c r="E603" i="7"/>
  <c r="D603" i="7"/>
  <c r="H602" i="7"/>
  <c r="G602" i="7"/>
  <c r="E602" i="7"/>
  <c r="D602" i="7"/>
  <c r="H601" i="7"/>
  <c r="G601" i="7"/>
  <c r="E601" i="7"/>
  <c r="D601" i="7"/>
  <c r="H600" i="7"/>
  <c r="G600" i="7"/>
  <c r="E600" i="7"/>
  <c r="D600" i="7"/>
  <c r="H599" i="7"/>
  <c r="G599" i="7"/>
  <c r="E599" i="7"/>
  <c r="D599" i="7"/>
  <c r="H598" i="7"/>
  <c r="G598" i="7"/>
  <c r="E598" i="7"/>
  <c r="D598" i="7"/>
  <c r="H597" i="7"/>
  <c r="G597" i="7"/>
  <c r="E597" i="7"/>
  <c r="D597" i="7"/>
  <c r="H596" i="7"/>
  <c r="G596" i="7"/>
  <c r="E596" i="7"/>
  <c r="D596" i="7"/>
  <c r="H595" i="7"/>
  <c r="G595" i="7"/>
  <c r="E595" i="7"/>
  <c r="D595" i="7"/>
  <c r="H594" i="7"/>
  <c r="G594" i="7"/>
  <c r="E594" i="7"/>
  <c r="D594" i="7"/>
  <c r="H593" i="7"/>
  <c r="G593" i="7"/>
  <c r="E593" i="7"/>
  <c r="D593" i="7"/>
  <c r="H592" i="7"/>
  <c r="G592" i="7"/>
  <c r="E592" i="7"/>
  <c r="D592" i="7"/>
  <c r="H591" i="7"/>
  <c r="G591" i="7"/>
  <c r="E591" i="7"/>
  <c r="D591" i="7"/>
  <c r="H590" i="7"/>
  <c r="G590" i="7"/>
  <c r="E590" i="7"/>
  <c r="D590" i="7"/>
  <c r="H589" i="7"/>
  <c r="G589" i="7"/>
  <c r="E589" i="7"/>
  <c r="D589" i="7"/>
  <c r="H588" i="7"/>
  <c r="G588" i="7"/>
  <c r="E588" i="7"/>
  <c r="D588" i="7"/>
  <c r="H587" i="7"/>
  <c r="G587" i="7"/>
  <c r="E587" i="7"/>
  <c r="D587" i="7"/>
  <c r="H586" i="7"/>
  <c r="G586" i="7"/>
  <c r="E586" i="7"/>
  <c r="D586" i="7"/>
  <c r="H585" i="7"/>
  <c r="G585" i="7"/>
  <c r="E585" i="7"/>
  <c r="D585" i="7"/>
  <c r="H584" i="7"/>
  <c r="G584" i="7"/>
  <c r="E584" i="7"/>
  <c r="D584" i="7"/>
  <c r="H583" i="7"/>
  <c r="G583" i="7"/>
  <c r="E583" i="7"/>
  <c r="D583" i="7"/>
  <c r="H582" i="7"/>
  <c r="G582" i="7"/>
  <c r="E582" i="7"/>
  <c r="D582" i="7"/>
  <c r="H581" i="7"/>
  <c r="G581" i="7"/>
  <c r="E581" i="7"/>
  <c r="D581" i="7"/>
  <c r="H580" i="7"/>
  <c r="G580" i="7"/>
  <c r="E580" i="7"/>
  <c r="D580" i="7"/>
  <c r="H579" i="7"/>
  <c r="G579" i="7"/>
  <c r="E579" i="7"/>
  <c r="D579" i="7"/>
  <c r="H578" i="7"/>
  <c r="G578" i="7"/>
  <c r="E578" i="7"/>
  <c r="D578" i="7"/>
  <c r="H577" i="7"/>
  <c r="G577" i="7"/>
  <c r="E577" i="7"/>
  <c r="D577" i="7"/>
  <c r="H576" i="7"/>
  <c r="G576" i="7"/>
  <c r="E576" i="7"/>
  <c r="D576" i="7"/>
  <c r="H575" i="7"/>
  <c r="G575" i="7"/>
  <c r="E575" i="7"/>
  <c r="D575" i="7"/>
  <c r="H574" i="7"/>
  <c r="G574" i="7"/>
  <c r="E574" i="7"/>
  <c r="D574" i="7"/>
  <c r="H573" i="7"/>
  <c r="G573" i="7"/>
  <c r="E573" i="7"/>
  <c r="D573" i="7"/>
  <c r="H572" i="7"/>
  <c r="G572" i="7"/>
  <c r="E572" i="7"/>
  <c r="D572" i="7"/>
  <c r="H571" i="7"/>
  <c r="G571" i="7"/>
  <c r="E571" i="7"/>
  <c r="D571" i="7"/>
  <c r="H570" i="7"/>
  <c r="G570" i="7"/>
  <c r="E570" i="7"/>
  <c r="D570" i="7"/>
  <c r="H569" i="7"/>
  <c r="G569" i="7"/>
  <c r="E569" i="7"/>
  <c r="D569" i="7"/>
  <c r="H568" i="7"/>
  <c r="G568" i="7"/>
  <c r="E568" i="7"/>
  <c r="D568" i="7"/>
  <c r="H567" i="7"/>
  <c r="G567" i="7"/>
  <c r="E567" i="7"/>
  <c r="D567" i="7"/>
  <c r="H566" i="7"/>
  <c r="G566" i="7"/>
  <c r="E566" i="7"/>
  <c r="D566" i="7"/>
  <c r="H565" i="7"/>
  <c r="G565" i="7"/>
  <c r="E565" i="7"/>
  <c r="D565" i="7"/>
  <c r="H564" i="7"/>
  <c r="G564" i="7"/>
  <c r="E564" i="7"/>
  <c r="D564" i="7"/>
  <c r="H563" i="7"/>
  <c r="G563" i="7"/>
  <c r="E563" i="7"/>
  <c r="D563" i="7"/>
  <c r="H562" i="7"/>
  <c r="G562" i="7"/>
  <c r="E562" i="7"/>
  <c r="D562" i="7"/>
  <c r="H561" i="7"/>
  <c r="G561" i="7"/>
  <c r="E561" i="7"/>
  <c r="D561" i="7"/>
  <c r="H560" i="7"/>
  <c r="G560" i="7"/>
  <c r="E560" i="7"/>
  <c r="D560" i="7"/>
  <c r="H559" i="7"/>
  <c r="G559" i="7"/>
  <c r="E559" i="7"/>
  <c r="D559" i="7"/>
  <c r="H558" i="7"/>
  <c r="G558" i="7"/>
  <c r="E558" i="7"/>
  <c r="D558" i="7"/>
  <c r="H557" i="7"/>
  <c r="G557" i="7"/>
  <c r="E557" i="7"/>
  <c r="D557" i="7"/>
  <c r="H556" i="7"/>
  <c r="G556" i="7"/>
  <c r="E556" i="7"/>
  <c r="D556" i="7"/>
  <c r="H555" i="7"/>
  <c r="G555" i="7"/>
  <c r="E555" i="7"/>
  <c r="D555" i="7"/>
  <c r="H554" i="7"/>
  <c r="G554" i="7"/>
  <c r="E554" i="7"/>
  <c r="D554" i="7"/>
  <c r="H553" i="7"/>
  <c r="G553" i="7"/>
  <c r="E553" i="7"/>
  <c r="D553" i="7"/>
  <c r="H552" i="7"/>
  <c r="G552" i="7"/>
  <c r="E552" i="7"/>
  <c r="D552" i="7"/>
  <c r="H551" i="7"/>
  <c r="G551" i="7"/>
  <c r="E551" i="7"/>
  <c r="D551" i="7"/>
  <c r="H550" i="7"/>
  <c r="G550" i="7"/>
  <c r="E550" i="7"/>
  <c r="D550" i="7"/>
  <c r="H549" i="7"/>
  <c r="G549" i="7"/>
  <c r="E549" i="7"/>
  <c r="D549" i="7"/>
  <c r="H548" i="7"/>
  <c r="G548" i="7"/>
  <c r="E548" i="7"/>
  <c r="D548" i="7"/>
  <c r="H547" i="7"/>
  <c r="G547" i="7"/>
  <c r="E547" i="7"/>
  <c r="D547" i="7"/>
  <c r="H546" i="7"/>
  <c r="G546" i="7"/>
  <c r="E546" i="7"/>
  <c r="D546" i="7"/>
  <c r="H545" i="7"/>
  <c r="G545" i="7"/>
  <c r="E545" i="7"/>
  <c r="D545" i="7"/>
  <c r="H544" i="7"/>
  <c r="G544" i="7"/>
  <c r="E544" i="7"/>
  <c r="D544" i="7"/>
  <c r="H543" i="7"/>
  <c r="G543" i="7"/>
  <c r="E543" i="7"/>
  <c r="D543" i="7"/>
  <c r="H542" i="7"/>
  <c r="G542" i="7"/>
  <c r="E542" i="7"/>
  <c r="D542" i="7"/>
  <c r="H541" i="7"/>
  <c r="G541" i="7"/>
  <c r="E541" i="7"/>
  <c r="D541" i="7"/>
  <c r="H540" i="7"/>
  <c r="G540" i="7"/>
  <c r="E540" i="7"/>
  <c r="D540" i="7"/>
  <c r="H539" i="7"/>
  <c r="G539" i="7"/>
  <c r="E539" i="7"/>
  <c r="D539" i="7"/>
  <c r="H538" i="7"/>
  <c r="G538" i="7"/>
  <c r="E538" i="7"/>
  <c r="D538" i="7"/>
  <c r="H537" i="7"/>
  <c r="G537" i="7"/>
  <c r="E537" i="7"/>
  <c r="D537" i="7"/>
  <c r="H536" i="7"/>
  <c r="G536" i="7"/>
  <c r="E536" i="7"/>
  <c r="D536" i="7"/>
  <c r="H535" i="7"/>
  <c r="G535" i="7"/>
  <c r="E535" i="7"/>
  <c r="D535" i="7"/>
  <c r="H534" i="7"/>
  <c r="G534" i="7"/>
  <c r="E534" i="7"/>
  <c r="D534" i="7"/>
  <c r="H533" i="7"/>
  <c r="G533" i="7"/>
  <c r="E533" i="7"/>
  <c r="D533" i="7"/>
  <c r="H532" i="7"/>
  <c r="G532" i="7"/>
  <c r="E532" i="7"/>
  <c r="D532" i="7"/>
  <c r="H531" i="7"/>
  <c r="G531" i="7"/>
  <c r="E531" i="7"/>
  <c r="D531" i="7"/>
  <c r="H530" i="7"/>
  <c r="G530" i="7"/>
  <c r="E530" i="7"/>
  <c r="D530" i="7"/>
  <c r="H529" i="7"/>
  <c r="G529" i="7"/>
  <c r="E529" i="7"/>
  <c r="D529" i="7"/>
  <c r="H528" i="7"/>
  <c r="G528" i="7"/>
  <c r="E528" i="7"/>
  <c r="D528" i="7"/>
  <c r="H527" i="7"/>
  <c r="G527" i="7"/>
  <c r="E527" i="7"/>
  <c r="D527" i="7"/>
  <c r="H526" i="7"/>
  <c r="G526" i="7"/>
  <c r="E526" i="7"/>
  <c r="D526" i="7"/>
  <c r="H525" i="7"/>
  <c r="G525" i="7"/>
  <c r="E525" i="7"/>
  <c r="D525" i="7"/>
  <c r="H524" i="7"/>
  <c r="G524" i="7"/>
  <c r="E524" i="7"/>
  <c r="D524" i="7"/>
  <c r="H523" i="7"/>
  <c r="G523" i="7"/>
  <c r="E523" i="7"/>
  <c r="D523" i="7"/>
  <c r="H522" i="7"/>
  <c r="G522" i="7"/>
  <c r="E522" i="7"/>
  <c r="D522" i="7"/>
  <c r="H521" i="7"/>
  <c r="G521" i="7"/>
  <c r="E521" i="7"/>
  <c r="D521" i="7"/>
  <c r="H520" i="7"/>
  <c r="G520" i="7"/>
  <c r="E520" i="7"/>
  <c r="D520" i="7"/>
  <c r="H519" i="7"/>
  <c r="G519" i="7"/>
  <c r="E519" i="7"/>
  <c r="D519" i="7"/>
  <c r="H518" i="7"/>
  <c r="G518" i="7"/>
  <c r="E518" i="7"/>
  <c r="D518" i="7"/>
  <c r="H517" i="7"/>
  <c r="G517" i="7"/>
  <c r="E517" i="7"/>
  <c r="D517" i="7"/>
  <c r="H516" i="7"/>
  <c r="G516" i="7"/>
  <c r="E516" i="7"/>
  <c r="D516" i="7"/>
  <c r="H515" i="7"/>
  <c r="G515" i="7"/>
  <c r="E515" i="7"/>
  <c r="D515" i="7"/>
  <c r="H514" i="7"/>
  <c r="G514" i="7"/>
  <c r="E514" i="7"/>
  <c r="D514" i="7"/>
  <c r="H513" i="7"/>
  <c r="G513" i="7"/>
  <c r="E513" i="7"/>
  <c r="D513" i="7"/>
  <c r="H512" i="7"/>
  <c r="G512" i="7"/>
  <c r="E512" i="7"/>
  <c r="D512" i="7"/>
  <c r="H511" i="7"/>
  <c r="G511" i="7"/>
  <c r="E511" i="7"/>
  <c r="D511" i="7"/>
  <c r="H510" i="7"/>
  <c r="G510" i="7"/>
  <c r="E510" i="7"/>
  <c r="D510" i="7"/>
  <c r="H509" i="7"/>
  <c r="G509" i="7"/>
  <c r="E509" i="7"/>
  <c r="D509" i="7"/>
  <c r="H508" i="7"/>
  <c r="G508" i="7"/>
  <c r="E508" i="7"/>
  <c r="D508" i="7"/>
  <c r="H507" i="7"/>
  <c r="G507" i="7"/>
  <c r="E507" i="7"/>
  <c r="D507" i="7"/>
  <c r="H506" i="7"/>
  <c r="G506" i="7"/>
  <c r="E506" i="7"/>
  <c r="D506" i="7"/>
  <c r="H505" i="7"/>
  <c r="G505" i="7"/>
  <c r="E505" i="7"/>
  <c r="D505" i="7"/>
  <c r="H504" i="7"/>
  <c r="G504" i="7"/>
  <c r="E504" i="7"/>
  <c r="D504" i="7"/>
  <c r="H503" i="7"/>
  <c r="G503" i="7"/>
  <c r="E503" i="7"/>
  <c r="D503" i="7"/>
  <c r="H502" i="7"/>
  <c r="G502" i="7"/>
  <c r="E502" i="7"/>
  <c r="D502" i="7"/>
  <c r="H501" i="7"/>
  <c r="G501" i="7"/>
  <c r="E501" i="7"/>
  <c r="D501" i="7"/>
  <c r="H500" i="7"/>
  <c r="G500" i="7"/>
  <c r="E500" i="7"/>
  <c r="D500" i="7"/>
  <c r="H499" i="7"/>
  <c r="G499" i="7"/>
  <c r="E499" i="7"/>
  <c r="D499" i="7"/>
  <c r="H498" i="7"/>
  <c r="G498" i="7"/>
  <c r="E498" i="7"/>
  <c r="D498" i="7"/>
  <c r="H497" i="7"/>
  <c r="G497" i="7"/>
  <c r="E497" i="7"/>
  <c r="D497" i="7"/>
  <c r="H496" i="7"/>
  <c r="G496" i="7"/>
  <c r="E496" i="7"/>
  <c r="D496" i="7"/>
  <c r="H495" i="7"/>
  <c r="G495" i="7"/>
  <c r="E495" i="7"/>
  <c r="D495" i="7"/>
  <c r="H494" i="7"/>
  <c r="G494" i="7"/>
  <c r="E494" i="7"/>
  <c r="D494" i="7"/>
  <c r="H493" i="7"/>
  <c r="G493" i="7"/>
  <c r="E493" i="7"/>
  <c r="D493" i="7"/>
  <c r="H492" i="7"/>
  <c r="G492" i="7"/>
  <c r="E492" i="7"/>
  <c r="D492" i="7"/>
  <c r="H491" i="7"/>
  <c r="G491" i="7"/>
  <c r="E491" i="7"/>
  <c r="D491" i="7"/>
  <c r="H490" i="7"/>
  <c r="G490" i="7"/>
  <c r="E490" i="7"/>
  <c r="D490" i="7"/>
  <c r="H489" i="7"/>
  <c r="G489" i="7"/>
  <c r="E489" i="7"/>
  <c r="D489" i="7"/>
  <c r="H488" i="7"/>
  <c r="G488" i="7"/>
  <c r="E488" i="7"/>
  <c r="D488" i="7"/>
  <c r="H487" i="7"/>
  <c r="G487" i="7"/>
  <c r="E487" i="7"/>
  <c r="D487" i="7"/>
  <c r="H486" i="7"/>
  <c r="G486" i="7"/>
  <c r="E486" i="7"/>
  <c r="D486" i="7"/>
  <c r="H485" i="7"/>
  <c r="G485" i="7"/>
  <c r="E485" i="7"/>
  <c r="D485" i="7"/>
  <c r="H484" i="7"/>
  <c r="G484" i="7"/>
  <c r="E484" i="7"/>
  <c r="D484" i="7"/>
  <c r="H483" i="7"/>
  <c r="G483" i="7"/>
  <c r="E483" i="7"/>
  <c r="D483" i="7"/>
  <c r="H482" i="7"/>
  <c r="G482" i="7"/>
  <c r="E482" i="7"/>
  <c r="D482" i="7"/>
  <c r="H481" i="7"/>
  <c r="G481" i="7"/>
  <c r="E481" i="7"/>
  <c r="D481" i="7"/>
  <c r="H480" i="7"/>
  <c r="G480" i="7"/>
  <c r="E480" i="7"/>
  <c r="D480" i="7"/>
  <c r="H479" i="7"/>
  <c r="G479" i="7"/>
  <c r="E479" i="7"/>
  <c r="D479" i="7"/>
  <c r="H478" i="7"/>
  <c r="G478" i="7"/>
  <c r="E478" i="7"/>
  <c r="D478" i="7"/>
  <c r="H477" i="7"/>
  <c r="G477" i="7"/>
  <c r="E477" i="7"/>
  <c r="D477" i="7"/>
  <c r="H476" i="7"/>
  <c r="G476" i="7"/>
  <c r="E476" i="7"/>
  <c r="D476" i="7"/>
  <c r="H475" i="7"/>
  <c r="G475" i="7"/>
  <c r="E475" i="7"/>
  <c r="D475" i="7"/>
  <c r="H474" i="7"/>
  <c r="G474" i="7"/>
  <c r="E474" i="7"/>
  <c r="D474" i="7"/>
  <c r="H473" i="7"/>
  <c r="G473" i="7"/>
  <c r="E473" i="7"/>
  <c r="D473" i="7"/>
  <c r="H472" i="7"/>
  <c r="G472" i="7"/>
  <c r="E472" i="7"/>
  <c r="D472" i="7"/>
  <c r="H471" i="7"/>
  <c r="G471" i="7"/>
  <c r="E471" i="7"/>
  <c r="D471" i="7"/>
  <c r="H470" i="7"/>
  <c r="G470" i="7"/>
  <c r="E470" i="7"/>
  <c r="D470" i="7"/>
  <c r="H469" i="7"/>
  <c r="G469" i="7"/>
  <c r="E469" i="7"/>
  <c r="D469" i="7"/>
  <c r="H468" i="7"/>
  <c r="G468" i="7"/>
  <c r="E468" i="7"/>
  <c r="D468" i="7"/>
  <c r="H467" i="7"/>
  <c r="G467" i="7"/>
  <c r="E467" i="7"/>
  <c r="D467" i="7"/>
  <c r="H466" i="7"/>
  <c r="G466" i="7"/>
  <c r="E466" i="7"/>
  <c r="D466" i="7"/>
  <c r="H465" i="7"/>
  <c r="G465" i="7"/>
  <c r="E465" i="7"/>
  <c r="D465" i="7"/>
  <c r="H464" i="7"/>
  <c r="G464" i="7"/>
  <c r="E464" i="7"/>
  <c r="D464" i="7"/>
  <c r="H463" i="7"/>
  <c r="G463" i="7"/>
  <c r="E463" i="7"/>
  <c r="D463" i="7"/>
  <c r="H462" i="7"/>
  <c r="G462" i="7"/>
  <c r="E462" i="7"/>
  <c r="D462" i="7"/>
  <c r="H461" i="7"/>
  <c r="G461" i="7"/>
  <c r="E461" i="7"/>
  <c r="D461" i="7"/>
  <c r="H460" i="7"/>
  <c r="G460" i="7"/>
  <c r="E460" i="7"/>
  <c r="D460" i="7"/>
  <c r="H459" i="7"/>
  <c r="G459" i="7"/>
  <c r="E459" i="7"/>
  <c r="D459" i="7"/>
  <c r="H458" i="7"/>
  <c r="G458" i="7"/>
  <c r="E458" i="7"/>
  <c r="D458" i="7"/>
  <c r="H457" i="7"/>
  <c r="G457" i="7"/>
  <c r="E457" i="7"/>
  <c r="D457" i="7"/>
  <c r="H456" i="7"/>
  <c r="G456" i="7"/>
  <c r="E456" i="7"/>
  <c r="D456" i="7"/>
  <c r="H455" i="7"/>
  <c r="G455" i="7"/>
  <c r="E455" i="7"/>
  <c r="D455" i="7"/>
  <c r="H454" i="7"/>
  <c r="G454" i="7"/>
  <c r="E454" i="7"/>
  <c r="D454" i="7"/>
  <c r="H453" i="7"/>
  <c r="G453" i="7"/>
  <c r="E453" i="7"/>
  <c r="D453" i="7"/>
  <c r="H452" i="7"/>
  <c r="G452" i="7"/>
  <c r="E452" i="7"/>
  <c r="D452" i="7"/>
  <c r="H451" i="7"/>
  <c r="G451" i="7"/>
  <c r="E451" i="7"/>
  <c r="D451" i="7"/>
  <c r="H450" i="7"/>
  <c r="G450" i="7"/>
  <c r="E450" i="7"/>
  <c r="D450" i="7"/>
  <c r="H449" i="7"/>
  <c r="G449" i="7"/>
  <c r="E449" i="7"/>
  <c r="D449" i="7"/>
  <c r="H448" i="7"/>
  <c r="G448" i="7"/>
  <c r="E448" i="7"/>
  <c r="D448" i="7"/>
  <c r="H447" i="7"/>
  <c r="G447" i="7"/>
  <c r="E447" i="7"/>
  <c r="D447" i="7"/>
  <c r="H446" i="7"/>
  <c r="G446" i="7"/>
  <c r="E446" i="7"/>
  <c r="D446" i="7"/>
  <c r="H445" i="7"/>
  <c r="G445" i="7"/>
  <c r="E445" i="7"/>
  <c r="D445" i="7"/>
  <c r="H444" i="7"/>
  <c r="G444" i="7"/>
  <c r="E444" i="7"/>
  <c r="D444" i="7"/>
  <c r="H443" i="7"/>
  <c r="G443" i="7"/>
  <c r="E443" i="7"/>
  <c r="D443" i="7"/>
  <c r="H442" i="7"/>
  <c r="G442" i="7"/>
  <c r="E442" i="7"/>
  <c r="D442" i="7"/>
  <c r="H441" i="7"/>
  <c r="G441" i="7"/>
  <c r="E441" i="7"/>
  <c r="D441" i="7"/>
  <c r="H440" i="7"/>
  <c r="G440" i="7"/>
  <c r="E440" i="7"/>
  <c r="D440" i="7"/>
  <c r="H439" i="7"/>
  <c r="G439" i="7"/>
  <c r="E439" i="7"/>
  <c r="D439" i="7"/>
  <c r="H438" i="7"/>
  <c r="G438" i="7"/>
  <c r="E438" i="7"/>
  <c r="D438" i="7"/>
  <c r="H437" i="7"/>
  <c r="G437" i="7"/>
  <c r="E437" i="7"/>
  <c r="D437" i="7"/>
  <c r="H436" i="7"/>
  <c r="G436" i="7"/>
  <c r="E436" i="7"/>
  <c r="D436" i="7"/>
  <c r="H435" i="7"/>
  <c r="G435" i="7"/>
  <c r="E435" i="7"/>
  <c r="D435" i="7"/>
  <c r="H434" i="7"/>
  <c r="G434" i="7"/>
  <c r="E434" i="7"/>
  <c r="D434" i="7"/>
  <c r="H433" i="7"/>
  <c r="G433" i="7"/>
  <c r="E433" i="7"/>
  <c r="D433" i="7"/>
  <c r="H432" i="7"/>
  <c r="G432" i="7"/>
  <c r="E432" i="7"/>
  <c r="D432" i="7"/>
  <c r="H431" i="7"/>
  <c r="G431" i="7"/>
  <c r="E431" i="7"/>
  <c r="D431" i="7"/>
  <c r="H430" i="7"/>
  <c r="G430" i="7"/>
  <c r="E430" i="7"/>
  <c r="D430" i="7"/>
  <c r="H429" i="7"/>
  <c r="G429" i="7"/>
  <c r="E429" i="7"/>
  <c r="D429" i="7"/>
  <c r="H428" i="7"/>
  <c r="G428" i="7"/>
  <c r="E428" i="7"/>
  <c r="D428" i="7"/>
  <c r="H427" i="7"/>
  <c r="G427" i="7"/>
  <c r="E427" i="7"/>
  <c r="D427" i="7"/>
  <c r="H426" i="7"/>
  <c r="G426" i="7"/>
  <c r="E426" i="7"/>
  <c r="D426" i="7"/>
  <c r="H425" i="7"/>
  <c r="G425" i="7"/>
  <c r="E425" i="7"/>
  <c r="D425" i="7"/>
  <c r="H424" i="7"/>
  <c r="G424" i="7"/>
  <c r="E424" i="7"/>
  <c r="D424" i="7"/>
  <c r="H423" i="7"/>
  <c r="G423" i="7"/>
  <c r="E423" i="7"/>
  <c r="D423" i="7"/>
  <c r="H422" i="7"/>
  <c r="G422" i="7"/>
  <c r="E422" i="7"/>
  <c r="D422" i="7"/>
  <c r="H421" i="7"/>
  <c r="G421" i="7"/>
  <c r="E421" i="7"/>
  <c r="D421" i="7"/>
  <c r="H420" i="7"/>
  <c r="G420" i="7"/>
  <c r="E420" i="7"/>
  <c r="D420" i="7"/>
  <c r="H419" i="7"/>
  <c r="G419" i="7"/>
  <c r="E419" i="7"/>
  <c r="D419" i="7"/>
  <c r="H418" i="7"/>
  <c r="G418" i="7"/>
  <c r="E418" i="7"/>
  <c r="D418" i="7"/>
  <c r="H417" i="7"/>
  <c r="G417" i="7"/>
  <c r="E417" i="7"/>
  <c r="D417" i="7"/>
  <c r="H416" i="7"/>
  <c r="G416" i="7"/>
  <c r="E416" i="7"/>
  <c r="D416" i="7"/>
  <c r="H415" i="7"/>
  <c r="G415" i="7"/>
  <c r="E415" i="7"/>
  <c r="D415" i="7"/>
  <c r="H414" i="7"/>
  <c r="G414" i="7"/>
  <c r="E414" i="7"/>
  <c r="D414" i="7"/>
  <c r="H413" i="7"/>
  <c r="G413" i="7"/>
  <c r="E413" i="7"/>
  <c r="D413" i="7"/>
  <c r="H412" i="7"/>
  <c r="G412" i="7"/>
  <c r="E412" i="7"/>
  <c r="D412" i="7"/>
  <c r="H411" i="7"/>
  <c r="G411" i="7"/>
  <c r="E411" i="7"/>
  <c r="D411" i="7"/>
  <c r="H410" i="7"/>
  <c r="G410" i="7"/>
  <c r="E410" i="7"/>
  <c r="D410" i="7"/>
  <c r="H409" i="7"/>
  <c r="G409" i="7"/>
  <c r="E409" i="7"/>
  <c r="D409" i="7"/>
  <c r="H408" i="7"/>
  <c r="G408" i="7"/>
  <c r="E408" i="7"/>
  <c r="D408" i="7"/>
  <c r="H407" i="7"/>
  <c r="G407" i="7"/>
  <c r="E407" i="7"/>
  <c r="D407" i="7"/>
  <c r="H406" i="7"/>
  <c r="G406" i="7"/>
  <c r="E406" i="7"/>
  <c r="D406" i="7"/>
  <c r="H405" i="7"/>
  <c r="G405" i="7"/>
  <c r="E405" i="7"/>
  <c r="D405" i="7"/>
  <c r="H404" i="7"/>
  <c r="G404" i="7"/>
  <c r="E404" i="7"/>
  <c r="D404" i="7"/>
  <c r="H403" i="7"/>
  <c r="G403" i="7"/>
  <c r="E403" i="7"/>
  <c r="D403" i="7"/>
  <c r="H402" i="7"/>
  <c r="G402" i="7"/>
  <c r="E402" i="7"/>
  <c r="D402" i="7"/>
  <c r="H401" i="7"/>
  <c r="G401" i="7"/>
  <c r="E401" i="7"/>
  <c r="D401" i="7"/>
  <c r="H400" i="7"/>
  <c r="G400" i="7"/>
  <c r="E400" i="7"/>
  <c r="D400" i="7"/>
  <c r="H399" i="7"/>
  <c r="G399" i="7"/>
  <c r="E399" i="7"/>
  <c r="D399" i="7"/>
  <c r="H398" i="7"/>
  <c r="G398" i="7"/>
  <c r="E398" i="7"/>
  <c r="D398" i="7"/>
  <c r="H397" i="7"/>
  <c r="G397" i="7"/>
  <c r="E397" i="7"/>
  <c r="D397" i="7"/>
  <c r="H396" i="7"/>
  <c r="G396" i="7"/>
  <c r="E396" i="7"/>
  <c r="D396" i="7"/>
  <c r="H395" i="7"/>
  <c r="G395" i="7"/>
  <c r="E395" i="7"/>
  <c r="D395" i="7"/>
  <c r="H394" i="7"/>
  <c r="G394" i="7"/>
  <c r="E394" i="7"/>
  <c r="D394" i="7"/>
  <c r="H393" i="7"/>
  <c r="G393" i="7"/>
  <c r="E393" i="7"/>
  <c r="D393" i="7"/>
  <c r="H392" i="7"/>
  <c r="G392" i="7"/>
  <c r="E392" i="7"/>
  <c r="D392" i="7"/>
  <c r="H391" i="7"/>
  <c r="G391" i="7"/>
  <c r="E391" i="7"/>
  <c r="D391" i="7"/>
  <c r="H390" i="7"/>
  <c r="G390" i="7"/>
  <c r="E390" i="7"/>
  <c r="D390" i="7"/>
  <c r="H389" i="7"/>
  <c r="G389" i="7"/>
  <c r="E389" i="7"/>
  <c r="D389" i="7"/>
  <c r="H388" i="7"/>
  <c r="G388" i="7"/>
  <c r="E388" i="7"/>
  <c r="D388" i="7"/>
  <c r="H387" i="7"/>
  <c r="G387" i="7"/>
  <c r="E387" i="7"/>
  <c r="D387" i="7"/>
  <c r="H386" i="7"/>
  <c r="G386" i="7"/>
  <c r="E386" i="7"/>
  <c r="D386" i="7"/>
  <c r="H385" i="7"/>
  <c r="G385" i="7"/>
  <c r="E385" i="7"/>
  <c r="D385" i="7"/>
  <c r="H384" i="7"/>
  <c r="G384" i="7"/>
  <c r="E384" i="7"/>
  <c r="D384" i="7"/>
  <c r="H383" i="7"/>
  <c r="G383" i="7"/>
  <c r="E383" i="7"/>
  <c r="D383" i="7"/>
  <c r="H382" i="7"/>
  <c r="G382" i="7"/>
  <c r="E382" i="7"/>
  <c r="D382" i="7"/>
  <c r="H381" i="7"/>
  <c r="G381" i="7"/>
  <c r="E381" i="7"/>
  <c r="D381" i="7"/>
  <c r="H380" i="7"/>
  <c r="G380" i="7"/>
  <c r="E380" i="7"/>
  <c r="D380" i="7"/>
  <c r="H379" i="7"/>
  <c r="G379" i="7"/>
  <c r="E379" i="7"/>
  <c r="D379" i="7"/>
  <c r="H378" i="7"/>
  <c r="G378" i="7"/>
  <c r="E378" i="7"/>
  <c r="D378" i="7"/>
  <c r="H377" i="7"/>
  <c r="G377" i="7"/>
  <c r="E377" i="7"/>
  <c r="D377" i="7"/>
  <c r="H376" i="7"/>
  <c r="G376" i="7"/>
  <c r="E376" i="7"/>
  <c r="D376" i="7"/>
  <c r="H375" i="7"/>
  <c r="G375" i="7"/>
  <c r="E375" i="7"/>
  <c r="D375" i="7"/>
  <c r="H374" i="7"/>
  <c r="G374" i="7"/>
  <c r="E374" i="7"/>
  <c r="D374" i="7"/>
  <c r="H373" i="7"/>
  <c r="G373" i="7"/>
  <c r="E373" i="7"/>
  <c r="D373" i="7"/>
  <c r="H372" i="7"/>
  <c r="G372" i="7"/>
  <c r="E372" i="7"/>
  <c r="D372" i="7"/>
  <c r="H371" i="7"/>
  <c r="G371" i="7"/>
  <c r="E371" i="7"/>
  <c r="D371" i="7"/>
  <c r="H370" i="7"/>
  <c r="G370" i="7"/>
  <c r="E370" i="7"/>
  <c r="D370" i="7"/>
  <c r="H369" i="7"/>
  <c r="G369" i="7"/>
  <c r="E369" i="7"/>
  <c r="D369" i="7"/>
  <c r="H368" i="7"/>
  <c r="G368" i="7"/>
  <c r="E368" i="7"/>
  <c r="D368" i="7"/>
  <c r="H367" i="7"/>
  <c r="G367" i="7"/>
  <c r="E367" i="7"/>
  <c r="D367" i="7"/>
  <c r="H366" i="7"/>
  <c r="G366" i="7"/>
  <c r="E366" i="7"/>
  <c r="D366" i="7"/>
  <c r="H365" i="7"/>
  <c r="G365" i="7"/>
  <c r="E365" i="7"/>
  <c r="D365" i="7"/>
  <c r="H364" i="7"/>
  <c r="G364" i="7"/>
  <c r="E364" i="7"/>
  <c r="D364" i="7"/>
  <c r="H363" i="7"/>
  <c r="G363" i="7"/>
  <c r="E363" i="7"/>
  <c r="D363" i="7"/>
  <c r="H362" i="7"/>
  <c r="G362" i="7"/>
  <c r="E362" i="7"/>
  <c r="D362" i="7"/>
  <c r="H361" i="7"/>
  <c r="G361" i="7"/>
  <c r="E361" i="7"/>
  <c r="D361" i="7"/>
  <c r="H360" i="7"/>
  <c r="G360" i="7"/>
  <c r="E360" i="7"/>
  <c r="D360" i="7"/>
  <c r="H359" i="7"/>
  <c r="G359" i="7"/>
  <c r="E359" i="7"/>
  <c r="D359" i="7"/>
  <c r="H358" i="7"/>
  <c r="G358" i="7"/>
  <c r="E358" i="7"/>
  <c r="D358" i="7"/>
  <c r="H357" i="7"/>
  <c r="G357" i="7"/>
  <c r="E357" i="7"/>
  <c r="D357" i="7"/>
  <c r="H356" i="7"/>
  <c r="G356" i="7"/>
  <c r="E356" i="7"/>
  <c r="D356" i="7"/>
  <c r="H355" i="7"/>
  <c r="G355" i="7"/>
  <c r="E355" i="7"/>
  <c r="D355" i="7"/>
  <c r="H354" i="7"/>
  <c r="G354" i="7"/>
  <c r="E354" i="7"/>
  <c r="D354" i="7"/>
  <c r="H353" i="7"/>
  <c r="G353" i="7"/>
  <c r="E353" i="7"/>
  <c r="D353" i="7"/>
  <c r="H352" i="7"/>
  <c r="G352" i="7"/>
  <c r="E352" i="7"/>
  <c r="D352" i="7"/>
  <c r="H351" i="7"/>
  <c r="G351" i="7"/>
  <c r="E351" i="7"/>
  <c r="D351" i="7"/>
  <c r="H350" i="7"/>
  <c r="G350" i="7"/>
  <c r="E350" i="7"/>
  <c r="D350" i="7"/>
  <c r="H349" i="7"/>
  <c r="G349" i="7"/>
  <c r="E349" i="7"/>
  <c r="D349" i="7"/>
  <c r="H348" i="7"/>
  <c r="G348" i="7"/>
  <c r="E348" i="7"/>
  <c r="D348" i="7"/>
  <c r="H347" i="7"/>
  <c r="G347" i="7"/>
  <c r="E347" i="7"/>
  <c r="D347" i="7"/>
  <c r="H346" i="7"/>
  <c r="G346" i="7"/>
  <c r="E346" i="7"/>
  <c r="D346" i="7"/>
  <c r="H345" i="7"/>
  <c r="G345" i="7"/>
  <c r="E345" i="7"/>
  <c r="D345" i="7"/>
  <c r="H344" i="7"/>
  <c r="G344" i="7"/>
  <c r="E344" i="7"/>
  <c r="D344" i="7"/>
  <c r="H343" i="7"/>
  <c r="G343" i="7"/>
  <c r="E343" i="7"/>
  <c r="D343" i="7"/>
  <c r="H342" i="7"/>
  <c r="G342" i="7"/>
  <c r="E342" i="7"/>
  <c r="D342" i="7"/>
  <c r="H341" i="7"/>
  <c r="G341" i="7"/>
  <c r="E341" i="7"/>
  <c r="D341" i="7"/>
  <c r="H340" i="7"/>
  <c r="G340" i="7"/>
  <c r="E340" i="7"/>
  <c r="D340" i="7"/>
  <c r="H339" i="7"/>
  <c r="G339" i="7"/>
  <c r="E339" i="7"/>
  <c r="D339" i="7"/>
  <c r="H338" i="7"/>
  <c r="G338" i="7"/>
  <c r="E338" i="7"/>
  <c r="D338" i="7"/>
  <c r="H337" i="7"/>
  <c r="G337" i="7"/>
  <c r="E337" i="7"/>
  <c r="D337" i="7"/>
  <c r="H336" i="7"/>
  <c r="G336" i="7"/>
  <c r="E336" i="7"/>
  <c r="D336" i="7"/>
  <c r="H335" i="7"/>
  <c r="G335" i="7"/>
  <c r="E335" i="7"/>
  <c r="D335" i="7"/>
  <c r="H334" i="7"/>
  <c r="G334" i="7"/>
  <c r="E334" i="7"/>
  <c r="D334" i="7"/>
  <c r="H333" i="7"/>
  <c r="G333" i="7"/>
  <c r="E333" i="7"/>
  <c r="D333" i="7"/>
  <c r="H332" i="7"/>
  <c r="G332" i="7"/>
  <c r="E332" i="7"/>
  <c r="D332" i="7"/>
  <c r="H331" i="7"/>
  <c r="G331" i="7"/>
  <c r="E331" i="7"/>
  <c r="D331" i="7"/>
  <c r="H330" i="7"/>
  <c r="G330" i="7"/>
  <c r="E330" i="7"/>
  <c r="D330" i="7"/>
  <c r="H329" i="7"/>
  <c r="G329" i="7"/>
  <c r="E329" i="7"/>
  <c r="D329" i="7"/>
  <c r="H328" i="7"/>
  <c r="G328" i="7"/>
  <c r="E328" i="7"/>
  <c r="D328" i="7"/>
  <c r="H327" i="7"/>
  <c r="G327" i="7"/>
  <c r="E327" i="7"/>
  <c r="D327" i="7"/>
  <c r="H326" i="7"/>
  <c r="G326" i="7"/>
  <c r="E326" i="7"/>
  <c r="D326" i="7"/>
  <c r="H325" i="7"/>
  <c r="G325" i="7"/>
  <c r="E325" i="7"/>
  <c r="D325" i="7"/>
  <c r="H324" i="7"/>
  <c r="G324" i="7"/>
  <c r="E324" i="7"/>
  <c r="D324" i="7"/>
  <c r="H323" i="7"/>
  <c r="G323" i="7"/>
  <c r="E323" i="7"/>
  <c r="D323" i="7"/>
  <c r="H322" i="7"/>
  <c r="G322" i="7"/>
  <c r="E322" i="7"/>
  <c r="D322" i="7"/>
  <c r="H321" i="7"/>
  <c r="G321" i="7"/>
  <c r="E321" i="7"/>
  <c r="D321" i="7"/>
  <c r="H320" i="7"/>
  <c r="G320" i="7"/>
  <c r="E320" i="7"/>
  <c r="D320" i="7"/>
  <c r="H319" i="7"/>
  <c r="G319" i="7"/>
  <c r="E319" i="7"/>
  <c r="D319" i="7"/>
  <c r="H318" i="7"/>
  <c r="G318" i="7"/>
  <c r="E318" i="7"/>
  <c r="D318" i="7"/>
  <c r="H317" i="7"/>
  <c r="G317" i="7"/>
  <c r="E317" i="7"/>
  <c r="D317" i="7"/>
  <c r="H316" i="7"/>
  <c r="G316" i="7"/>
  <c r="E316" i="7"/>
  <c r="D316" i="7"/>
  <c r="H315" i="7"/>
  <c r="G315" i="7"/>
  <c r="E315" i="7"/>
  <c r="D315" i="7"/>
  <c r="H314" i="7"/>
  <c r="G314" i="7"/>
  <c r="E314" i="7"/>
  <c r="D314" i="7"/>
  <c r="H313" i="7"/>
  <c r="G313" i="7"/>
  <c r="E313" i="7"/>
  <c r="D313" i="7"/>
  <c r="H312" i="7"/>
  <c r="G312" i="7"/>
  <c r="E312" i="7"/>
  <c r="D312" i="7"/>
  <c r="H311" i="7"/>
  <c r="G311" i="7"/>
  <c r="E311" i="7"/>
  <c r="D311" i="7"/>
  <c r="H310" i="7"/>
  <c r="G310" i="7"/>
  <c r="E310" i="7"/>
  <c r="D310" i="7"/>
  <c r="H309" i="7"/>
  <c r="G309" i="7"/>
  <c r="E309" i="7"/>
  <c r="D309" i="7"/>
  <c r="H308" i="7"/>
  <c r="G308" i="7"/>
  <c r="E308" i="7"/>
  <c r="D308" i="7"/>
  <c r="H307" i="7"/>
  <c r="G307" i="7"/>
  <c r="E307" i="7"/>
  <c r="D307" i="7"/>
  <c r="H306" i="7"/>
  <c r="G306" i="7"/>
  <c r="E306" i="7"/>
  <c r="D306" i="7"/>
  <c r="H305" i="7"/>
  <c r="G305" i="7"/>
  <c r="E305" i="7"/>
  <c r="D305" i="7"/>
  <c r="H304" i="7"/>
  <c r="G304" i="7"/>
  <c r="E304" i="7"/>
  <c r="D304" i="7"/>
  <c r="H303" i="7"/>
  <c r="G303" i="7"/>
  <c r="E303" i="7"/>
  <c r="D303" i="7"/>
  <c r="H302" i="7"/>
  <c r="G302" i="7"/>
  <c r="E302" i="7"/>
  <c r="D302" i="7"/>
  <c r="H301" i="7"/>
  <c r="G301" i="7"/>
  <c r="E301" i="7"/>
  <c r="D301" i="7"/>
  <c r="H300" i="7"/>
  <c r="G300" i="7"/>
  <c r="E300" i="7"/>
  <c r="D300" i="7"/>
  <c r="H299" i="7"/>
  <c r="G299" i="7"/>
  <c r="E299" i="7"/>
  <c r="D299" i="7"/>
  <c r="H298" i="7"/>
  <c r="G298" i="7"/>
  <c r="E298" i="7"/>
  <c r="D298" i="7"/>
  <c r="H297" i="7"/>
  <c r="G297" i="7"/>
  <c r="E297" i="7"/>
  <c r="D297" i="7"/>
  <c r="H296" i="7"/>
  <c r="G296" i="7"/>
  <c r="E296" i="7"/>
  <c r="D296" i="7"/>
  <c r="H295" i="7"/>
  <c r="G295" i="7"/>
  <c r="E295" i="7"/>
  <c r="D295" i="7"/>
  <c r="H294" i="7"/>
  <c r="G294" i="7"/>
  <c r="E294" i="7"/>
  <c r="D294" i="7"/>
  <c r="H293" i="7"/>
  <c r="G293" i="7"/>
  <c r="E293" i="7"/>
  <c r="D293" i="7"/>
  <c r="H292" i="7"/>
  <c r="G292" i="7"/>
  <c r="E292" i="7"/>
  <c r="D292" i="7"/>
  <c r="H291" i="7"/>
  <c r="G291" i="7"/>
  <c r="E291" i="7"/>
  <c r="D291" i="7"/>
  <c r="H290" i="7"/>
  <c r="G290" i="7"/>
  <c r="E290" i="7"/>
  <c r="D290" i="7"/>
  <c r="H289" i="7"/>
  <c r="G289" i="7"/>
  <c r="E289" i="7"/>
  <c r="D289" i="7"/>
  <c r="H288" i="7"/>
  <c r="G288" i="7"/>
  <c r="E288" i="7"/>
  <c r="D288" i="7"/>
  <c r="H287" i="7"/>
  <c r="G287" i="7"/>
  <c r="E287" i="7"/>
  <c r="D287" i="7"/>
  <c r="H286" i="7"/>
  <c r="G286" i="7"/>
  <c r="E286" i="7"/>
  <c r="D286" i="7"/>
  <c r="H285" i="7"/>
  <c r="G285" i="7"/>
  <c r="E285" i="7"/>
  <c r="D285" i="7"/>
  <c r="H284" i="7"/>
  <c r="G284" i="7"/>
  <c r="E284" i="7"/>
  <c r="D284" i="7"/>
  <c r="H283" i="7"/>
  <c r="G283" i="7"/>
  <c r="E283" i="7"/>
  <c r="D283" i="7"/>
  <c r="H282" i="7"/>
  <c r="G282" i="7"/>
  <c r="E282" i="7"/>
  <c r="D282" i="7"/>
  <c r="H281" i="7"/>
  <c r="G281" i="7"/>
  <c r="E281" i="7"/>
  <c r="D281" i="7"/>
  <c r="H280" i="7"/>
  <c r="G280" i="7"/>
  <c r="E280" i="7"/>
  <c r="D280" i="7"/>
  <c r="H279" i="7"/>
  <c r="G279" i="7"/>
  <c r="E279" i="7"/>
  <c r="D279" i="7"/>
  <c r="H278" i="7"/>
  <c r="G278" i="7"/>
  <c r="E278" i="7"/>
  <c r="D278" i="7"/>
  <c r="H277" i="7"/>
  <c r="G277" i="7"/>
  <c r="E277" i="7"/>
  <c r="D277" i="7"/>
  <c r="H276" i="7"/>
  <c r="G276" i="7"/>
  <c r="E276" i="7"/>
  <c r="D276" i="7"/>
  <c r="H275" i="7"/>
  <c r="G275" i="7"/>
  <c r="E275" i="7"/>
  <c r="D275" i="7"/>
  <c r="H274" i="7"/>
  <c r="G274" i="7"/>
  <c r="E274" i="7"/>
  <c r="D274" i="7"/>
  <c r="H273" i="7"/>
  <c r="G273" i="7"/>
  <c r="E273" i="7"/>
  <c r="D273" i="7"/>
  <c r="H272" i="7"/>
  <c r="G272" i="7"/>
  <c r="E272" i="7"/>
  <c r="D272" i="7"/>
  <c r="H271" i="7"/>
  <c r="G271" i="7"/>
  <c r="E271" i="7"/>
  <c r="D271" i="7"/>
  <c r="H270" i="7"/>
  <c r="G270" i="7"/>
  <c r="E270" i="7"/>
  <c r="D270" i="7"/>
  <c r="H269" i="7"/>
  <c r="G269" i="7"/>
  <c r="E269" i="7"/>
  <c r="D269" i="7"/>
  <c r="H268" i="7"/>
  <c r="G268" i="7"/>
  <c r="E268" i="7"/>
  <c r="D268" i="7"/>
  <c r="H267" i="7"/>
  <c r="G267" i="7"/>
  <c r="E267" i="7"/>
  <c r="D267" i="7"/>
  <c r="H266" i="7"/>
  <c r="G266" i="7"/>
  <c r="E266" i="7"/>
  <c r="D266" i="7"/>
  <c r="H265" i="7"/>
  <c r="G265" i="7"/>
  <c r="E265" i="7"/>
  <c r="D265" i="7"/>
  <c r="H264" i="7"/>
  <c r="G264" i="7"/>
  <c r="E264" i="7"/>
  <c r="D264" i="7"/>
  <c r="H263" i="7"/>
  <c r="G263" i="7"/>
  <c r="E263" i="7"/>
  <c r="D263" i="7"/>
  <c r="H262" i="7"/>
  <c r="G262" i="7"/>
  <c r="E262" i="7"/>
  <c r="D262" i="7"/>
  <c r="H261" i="7"/>
  <c r="G261" i="7"/>
  <c r="E261" i="7"/>
  <c r="D261" i="7"/>
  <c r="H260" i="7"/>
  <c r="G260" i="7"/>
  <c r="E260" i="7"/>
  <c r="D260" i="7"/>
  <c r="H259" i="7"/>
  <c r="G259" i="7"/>
  <c r="E259" i="7"/>
  <c r="D259" i="7"/>
  <c r="H258" i="7"/>
  <c r="G258" i="7"/>
  <c r="E258" i="7"/>
  <c r="D258" i="7"/>
  <c r="H257" i="7"/>
  <c r="G257" i="7"/>
  <c r="E257" i="7"/>
  <c r="D257" i="7"/>
  <c r="H256" i="7"/>
  <c r="G256" i="7"/>
  <c r="E256" i="7"/>
  <c r="D256" i="7"/>
  <c r="H255" i="7"/>
  <c r="G255" i="7"/>
  <c r="E255" i="7"/>
  <c r="D255" i="7"/>
  <c r="H254" i="7"/>
  <c r="G254" i="7"/>
  <c r="E254" i="7"/>
  <c r="D254" i="7"/>
  <c r="H253" i="7"/>
  <c r="G253" i="7"/>
  <c r="E253" i="7"/>
  <c r="D253" i="7"/>
  <c r="H252" i="7"/>
  <c r="G252" i="7"/>
  <c r="E252" i="7"/>
  <c r="D252" i="7"/>
  <c r="H251" i="7"/>
  <c r="G251" i="7"/>
  <c r="E251" i="7"/>
  <c r="D251" i="7"/>
  <c r="H250" i="7"/>
  <c r="G250" i="7"/>
  <c r="E250" i="7"/>
  <c r="D250" i="7"/>
  <c r="H249" i="7"/>
  <c r="G249" i="7"/>
  <c r="E249" i="7"/>
  <c r="D249" i="7"/>
  <c r="H248" i="7"/>
  <c r="G248" i="7"/>
  <c r="E248" i="7"/>
  <c r="D248" i="7"/>
  <c r="H247" i="7"/>
  <c r="G247" i="7"/>
  <c r="E247" i="7"/>
  <c r="D247" i="7"/>
  <c r="H246" i="7"/>
  <c r="G246" i="7"/>
  <c r="E246" i="7"/>
  <c r="D246" i="7"/>
  <c r="H245" i="7"/>
  <c r="G245" i="7"/>
  <c r="E245" i="7"/>
  <c r="D245" i="7"/>
  <c r="H244" i="7"/>
  <c r="G244" i="7"/>
  <c r="E244" i="7"/>
  <c r="D244" i="7"/>
  <c r="H243" i="7"/>
  <c r="G243" i="7"/>
  <c r="E243" i="7"/>
  <c r="D243" i="7"/>
  <c r="H242" i="7"/>
  <c r="G242" i="7"/>
  <c r="E242" i="7"/>
  <c r="D242" i="7"/>
  <c r="H241" i="7"/>
  <c r="G241" i="7"/>
  <c r="E241" i="7"/>
  <c r="D241" i="7"/>
  <c r="H240" i="7"/>
  <c r="G240" i="7"/>
  <c r="E240" i="7"/>
  <c r="D240" i="7"/>
  <c r="H239" i="7"/>
  <c r="G239" i="7"/>
  <c r="E239" i="7"/>
  <c r="D239" i="7"/>
  <c r="H238" i="7"/>
  <c r="G238" i="7"/>
  <c r="E238" i="7"/>
  <c r="D238" i="7"/>
  <c r="H237" i="7"/>
  <c r="G237" i="7"/>
  <c r="E237" i="7"/>
  <c r="D237" i="7"/>
  <c r="H236" i="7"/>
  <c r="G236" i="7"/>
  <c r="E236" i="7"/>
  <c r="D236" i="7"/>
  <c r="H235" i="7"/>
  <c r="G235" i="7"/>
  <c r="E235" i="7"/>
  <c r="D235" i="7"/>
  <c r="H234" i="7"/>
  <c r="G234" i="7"/>
  <c r="E234" i="7"/>
  <c r="D234" i="7"/>
  <c r="H233" i="7"/>
  <c r="G233" i="7"/>
  <c r="E233" i="7"/>
  <c r="D233" i="7"/>
  <c r="H232" i="7"/>
  <c r="G232" i="7"/>
  <c r="E232" i="7"/>
  <c r="D232" i="7"/>
  <c r="H231" i="7"/>
  <c r="G231" i="7"/>
  <c r="E231" i="7"/>
  <c r="D231" i="7"/>
  <c r="H230" i="7"/>
  <c r="G230" i="7"/>
  <c r="E230" i="7"/>
  <c r="D230" i="7"/>
  <c r="H229" i="7"/>
  <c r="G229" i="7"/>
  <c r="E229" i="7"/>
  <c r="D229" i="7"/>
  <c r="H228" i="7"/>
  <c r="G228" i="7"/>
  <c r="E228" i="7"/>
  <c r="D228" i="7"/>
  <c r="H227" i="7"/>
  <c r="G227" i="7"/>
  <c r="E227" i="7"/>
  <c r="D227" i="7"/>
  <c r="H226" i="7"/>
  <c r="G226" i="7"/>
  <c r="E226" i="7"/>
  <c r="D226" i="7"/>
  <c r="H225" i="7"/>
  <c r="G225" i="7"/>
  <c r="E225" i="7"/>
  <c r="D225" i="7"/>
  <c r="H224" i="7"/>
  <c r="G224" i="7"/>
  <c r="E224" i="7"/>
  <c r="D224" i="7"/>
  <c r="H223" i="7"/>
  <c r="G223" i="7"/>
  <c r="E223" i="7"/>
  <c r="D223" i="7"/>
  <c r="H222" i="7"/>
  <c r="G222" i="7"/>
  <c r="E222" i="7"/>
  <c r="D222" i="7"/>
  <c r="H221" i="7"/>
  <c r="G221" i="7"/>
  <c r="E221" i="7"/>
  <c r="D221" i="7"/>
  <c r="H220" i="7"/>
  <c r="G220" i="7"/>
  <c r="E220" i="7"/>
  <c r="D220" i="7"/>
  <c r="H219" i="7"/>
  <c r="G219" i="7"/>
  <c r="E219" i="7"/>
  <c r="D219" i="7"/>
  <c r="H218" i="7"/>
  <c r="G218" i="7"/>
  <c r="E218" i="7"/>
  <c r="D218" i="7"/>
  <c r="H217" i="7"/>
  <c r="G217" i="7"/>
  <c r="E217" i="7"/>
  <c r="D217" i="7"/>
  <c r="H216" i="7"/>
  <c r="G216" i="7"/>
  <c r="E216" i="7"/>
  <c r="D216" i="7"/>
  <c r="H215" i="7"/>
  <c r="G215" i="7"/>
  <c r="E215" i="7"/>
  <c r="D215" i="7"/>
  <c r="H214" i="7"/>
  <c r="G214" i="7"/>
  <c r="E214" i="7"/>
  <c r="D214" i="7"/>
  <c r="H213" i="7"/>
  <c r="G213" i="7"/>
  <c r="E213" i="7"/>
  <c r="D213" i="7"/>
  <c r="H212" i="7"/>
  <c r="G212" i="7"/>
  <c r="E212" i="7"/>
  <c r="D212" i="7"/>
  <c r="H211" i="7"/>
  <c r="G211" i="7"/>
  <c r="E211" i="7"/>
  <c r="D211" i="7"/>
  <c r="H210" i="7"/>
  <c r="G210" i="7"/>
  <c r="E210" i="7"/>
  <c r="D210" i="7"/>
  <c r="H209" i="7"/>
  <c r="G209" i="7"/>
  <c r="E209" i="7"/>
  <c r="D209" i="7"/>
  <c r="H208" i="7"/>
  <c r="G208" i="7"/>
  <c r="E208" i="7"/>
  <c r="D208" i="7"/>
  <c r="H207" i="7"/>
  <c r="G207" i="7"/>
  <c r="E207" i="7"/>
  <c r="D207" i="7"/>
  <c r="H206" i="7"/>
  <c r="G206" i="7"/>
  <c r="E206" i="7"/>
  <c r="D206" i="7"/>
  <c r="H205" i="7"/>
  <c r="G205" i="7"/>
  <c r="E205" i="7"/>
  <c r="D205" i="7"/>
  <c r="H204" i="7"/>
  <c r="G204" i="7"/>
  <c r="E204" i="7"/>
  <c r="D204" i="7"/>
  <c r="H203" i="7"/>
  <c r="G203" i="7"/>
  <c r="E203" i="7"/>
  <c r="D203" i="7"/>
  <c r="H202" i="7"/>
  <c r="G202" i="7"/>
  <c r="E202" i="7"/>
  <c r="D202" i="7"/>
  <c r="H201" i="7"/>
  <c r="G201" i="7"/>
  <c r="E201" i="7"/>
  <c r="D201" i="7"/>
  <c r="H200" i="7"/>
  <c r="G200" i="7"/>
  <c r="E200" i="7"/>
  <c r="D200" i="7"/>
  <c r="H199" i="7"/>
  <c r="G199" i="7"/>
  <c r="E199" i="7"/>
  <c r="D199" i="7"/>
  <c r="H198" i="7"/>
  <c r="G198" i="7"/>
  <c r="E198" i="7"/>
  <c r="D198" i="7"/>
  <c r="H197" i="7"/>
  <c r="G197" i="7"/>
  <c r="E197" i="7"/>
  <c r="D197" i="7"/>
  <c r="H196" i="7"/>
  <c r="G196" i="7"/>
  <c r="E196" i="7"/>
  <c r="D196" i="7"/>
  <c r="H195" i="7"/>
  <c r="G195" i="7"/>
  <c r="E195" i="7"/>
  <c r="D195" i="7"/>
  <c r="H194" i="7"/>
  <c r="G194" i="7"/>
  <c r="E194" i="7"/>
  <c r="D194" i="7"/>
  <c r="H193" i="7"/>
  <c r="G193" i="7"/>
  <c r="E193" i="7"/>
  <c r="D193" i="7"/>
  <c r="H192" i="7"/>
  <c r="G192" i="7"/>
  <c r="E192" i="7"/>
  <c r="D192" i="7"/>
  <c r="H191" i="7"/>
  <c r="G191" i="7"/>
  <c r="E191" i="7"/>
  <c r="D191" i="7"/>
  <c r="H190" i="7"/>
  <c r="G190" i="7"/>
  <c r="E190" i="7"/>
  <c r="D190" i="7"/>
  <c r="H189" i="7"/>
  <c r="G189" i="7"/>
  <c r="E189" i="7"/>
  <c r="D189" i="7"/>
  <c r="H188" i="7"/>
  <c r="G188" i="7"/>
  <c r="E188" i="7"/>
  <c r="D188" i="7"/>
  <c r="H187" i="7"/>
  <c r="G187" i="7"/>
  <c r="E187" i="7"/>
  <c r="D187" i="7"/>
  <c r="H186" i="7"/>
  <c r="G186" i="7"/>
  <c r="E186" i="7"/>
  <c r="D186" i="7"/>
  <c r="H185" i="7"/>
  <c r="G185" i="7"/>
  <c r="E185" i="7"/>
  <c r="D185" i="7"/>
  <c r="H184" i="7"/>
  <c r="G184" i="7"/>
  <c r="E184" i="7"/>
  <c r="D184" i="7"/>
  <c r="H183" i="7"/>
  <c r="G183" i="7"/>
  <c r="E183" i="7"/>
  <c r="D183" i="7"/>
  <c r="H182" i="7"/>
  <c r="G182" i="7"/>
  <c r="E182" i="7"/>
  <c r="D182" i="7"/>
  <c r="H181" i="7"/>
  <c r="G181" i="7"/>
  <c r="E181" i="7"/>
  <c r="D181" i="7"/>
  <c r="H180" i="7"/>
  <c r="G180" i="7"/>
  <c r="E180" i="7"/>
  <c r="D180" i="7"/>
  <c r="H179" i="7"/>
  <c r="G179" i="7"/>
  <c r="E179" i="7"/>
  <c r="D179" i="7"/>
  <c r="H178" i="7"/>
  <c r="G178" i="7"/>
  <c r="E178" i="7"/>
  <c r="D178" i="7"/>
  <c r="H177" i="7"/>
  <c r="G177" i="7"/>
  <c r="E177" i="7"/>
  <c r="D177" i="7"/>
  <c r="H176" i="7"/>
  <c r="G176" i="7"/>
  <c r="E176" i="7"/>
  <c r="D176" i="7"/>
  <c r="H175" i="7"/>
  <c r="G175" i="7"/>
  <c r="E175" i="7"/>
  <c r="D175" i="7"/>
  <c r="H174" i="7"/>
  <c r="G174" i="7"/>
  <c r="E174" i="7"/>
  <c r="D174" i="7"/>
  <c r="H173" i="7"/>
  <c r="G173" i="7"/>
  <c r="E173" i="7"/>
  <c r="D173" i="7"/>
  <c r="H172" i="7"/>
  <c r="G172" i="7"/>
  <c r="E172" i="7"/>
  <c r="D172" i="7"/>
  <c r="H171" i="7"/>
  <c r="G171" i="7"/>
  <c r="E171" i="7"/>
  <c r="D171" i="7"/>
  <c r="H170" i="7"/>
  <c r="G170" i="7"/>
  <c r="E170" i="7"/>
  <c r="D170" i="7"/>
  <c r="H169" i="7"/>
  <c r="G169" i="7"/>
  <c r="E169" i="7"/>
  <c r="D169" i="7"/>
  <c r="H168" i="7"/>
  <c r="G168" i="7"/>
  <c r="E168" i="7"/>
  <c r="D168" i="7"/>
  <c r="H167" i="7"/>
  <c r="G167" i="7"/>
  <c r="E167" i="7"/>
  <c r="D167" i="7"/>
  <c r="H166" i="7"/>
  <c r="G166" i="7"/>
  <c r="E166" i="7"/>
  <c r="D166" i="7"/>
  <c r="H165" i="7"/>
  <c r="G165" i="7"/>
  <c r="E165" i="7"/>
  <c r="D165" i="7"/>
  <c r="H164" i="7"/>
  <c r="G164" i="7"/>
  <c r="E164" i="7"/>
  <c r="D164" i="7"/>
  <c r="H163" i="7"/>
  <c r="G163" i="7"/>
  <c r="E163" i="7"/>
  <c r="D163" i="7"/>
  <c r="H162" i="7"/>
  <c r="G162" i="7"/>
  <c r="E162" i="7"/>
  <c r="D162" i="7"/>
  <c r="H161" i="7"/>
  <c r="G161" i="7"/>
  <c r="E161" i="7"/>
  <c r="F162" i="7" s="1"/>
  <c r="D161" i="7"/>
  <c r="H160" i="7"/>
  <c r="G160" i="7"/>
  <c r="E160" i="7"/>
  <c r="F161" i="7" s="1"/>
  <c r="D160" i="7"/>
  <c r="H159" i="7"/>
  <c r="G159" i="7"/>
  <c r="E159" i="7"/>
  <c r="D159" i="7"/>
  <c r="H158" i="7"/>
  <c r="G158" i="7"/>
  <c r="E158" i="7"/>
  <c r="F159" i="7" s="1"/>
  <c r="D158" i="7"/>
  <c r="H157" i="7"/>
  <c r="G157" i="7"/>
  <c r="E157" i="7"/>
  <c r="D157" i="7"/>
  <c r="H156" i="7"/>
  <c r="G156" i="7"/>
  <c r="E156" i="7"/>
  <c r="D156" i="7"/>
  <c r="H155" i="7"/>
  <c r="G155" i="7"/>
  <c r="E155" i="7"/>
  <c r="D155" i="7"/>
  <c r="H154" i="7"/>
  <c r="G154" i="7"/>
  <c r="E154" i="7"/>
  <c r="D154" i="7"/>
  <c r="H153" i="7"/>
  <c r="G153" i="7"/>
  <c r="E153" i="7"/>
  <c r="D153" i="7"/>
  <c r="H152" i="7"/>
  <c r="G152" i="7"/>
  <c r="E152" i="7"/>
  <c r="D152" i="7"/>
  <c r="H151" i="7"/>
  <c r="G151" i="7"/>
  <c r="E151" i="7"/>
  <c r="D151" i="7"/>
  <c r="H150" i="7"/>
  <c r="G150" i="7"/>
  <c r="E150" i="7"/>
  <c r="D150" i="7"/>
  <c r="H149" i="7"/>
  <c r="G149" i="7"/>
  <c r="E149" i="7"/>
  <c r="F150" i="7" s="1"/>
  <c r="D149" i="7"/>
  <c r="H148" i="7"/>
  <c r="G148" i="7"/>
  <c r="E148" i="7"/>
  <c r="D148" i="7"/>
  <c r="H147" i="7"/>
  <c r="G147" i="7"/>
  <c r="E147" i="7"/>
  <c r="D147" i="7"/>
  <c r="H146" i="7"/>
  <c r="G146" i="7"/>
  <c r="E146" i="7"/>
  <c r="D146" i="7"/>
  <c r="H145" i="7"/>
  <c r="G145" i="7"/>
  <c r="E145" i="7"/>
  <c r="F146" i="7" s="1"/>
  <c r="D145" i="7"/>
  <c r="H144" i="7"/>
  <c r="G144" i="7"/>
  <c r="E144" i="7"/>
  <c r="F145" i="7" s="1"/>
  <c r="D144" i="7"/>
  <c r="H143" i="7"/>
  <c r="G143" i="7"/>
  <c r="E143" i="7"/>
  <c r="D143" i="7"/>
  <c r="H142" i="7"/>
  <c r="G142" i="7"/>
  <c r="E142" i="7"/>
  <c r="D142" i="7"/>
  <c r="H141" i="7"/>
  <c r="G141" i="7"/>
  <c r="E141" i="7"/>
  <c r="D141" i="7"/>
  <c r="H140" i="7"/>
  <c r="G140" i="7"/>
  <c r="E140" i="7"/>
  <c r="D140" i="7"/>
  <c r="H139" i="7"/>
  <c r="G139" i="7"/>
  <c r="E139" i="7"/>
  <c r="D139" i="7"/>
  <c r="H138" i="7"/>
  <c r="G138" i="7"/>
  <c r="E138" i="7"/>
  <c r="D138" i="7"/>
  <c r="H137" i="7"/>
  <c r="G137" i="7"/>
  <c r="E137" i="7"/>
  <c r="F138" i="7" s="1"/>
  <c r="D137" i="7"/>
  <c r="H136" i="7"/>
  <c r="G136" i="7"/>
  <c r="E136" i="7"/>
  <c r="D136" i="7"/>
  <c r="H135" i="7"/>
  <c r="G135" i="7"/>
  <c r="E135" i="7"/>
  <c r="F136" i="7" s="1"/>
  <c r="D135" i="7"/>
  <c r="H134" i="7"/>
  <c r="G134" i="7"/>
  <c r="E134" i="7"/>
  <c r="D134" i="7"/>
  <c r="H133" i="7"/>
  <c r="G133" i="7"/>
  <c r="E133" i="7"/>
  <c r="F134" i="7" s="1"/>
  <c r="D133" i="7"/>
  <c r="H132" i="7"/>
  <c r="G132" i="7"/>
  <c r="E132" i="7"/>
  <c r="D132" i="7"/>
  <c r="H131" i="7"/>
  <c r="G131" i="7"/>
  <c r="E131" i="7"/>
  <c r="D131" i="7"/>
  <c r="H130" i="7"/>
  <c r="G130" i="7"/>
  <c r="E130" i="7"/>
  <c r="F131" i="7" s="1"/>
  <c r="D130" i="7"/>
  <c r="H129" i="7"/>
  <c r="G129" i="7"/>
  <c r="E129" i="7"/>
  <c r="F130" i="7" s="1"/>
  <c r="D129" i="7"/>
  <c r="H128" i="7"/>
  <c r="G128" i="7"/>
  <c r="E128" i="7"/>
  <c r="F129" i="7" s="1"/>
  <c r="D128" i="7"/>
  <c r="H127" i="7"/>
  <c r="G127" i="7"/>
  <c r="E127" i="7"/>
  <c r="F128" i="7" s="1"/>
  <c r="D127" i="7"/>
  <c r="H126" i="7"/>
  <c r="G126" i="7"/>
  <c r="E126" i="7"/>
  <c r="D126" i="7"/>
  <c r="H125" i="7"/>
  <c r="G125" i="7"/>
  <c r="E125" i="7"/>
  <c r="D125" i="7"/>
  <c r="H124" i="7"/>
  <c r="G124" i="7"/>
  <c r="E124" i="7"/>
  <c r="D124" i="7"/>
  <c r="H123" i="7"/>
  <c r="G123" i="7"/>
  <c r="E123" i="7"/>
  <c r="F124" i="7" s="1"/>
  <c r="D123" i="7"/>
  <c r="H122" i="7"/>
  <c r="G122" i="7"/>
  <c r="E122" i="7"/>
  <c r="D122" i="7"/>
  <c r="H121" i="7"/>
  <c r="G121" i="7"/>
  <c r="E121" i="7"/>
  <c r="D121" i="7"/>
  <c r="H120" i="7"/>
  <c r="G120" i="7"/>
  <c r="E120" i="7"/>
  <c r="D120" i="7"/>
  <c r="H119" i="7"/>
  <c r="G119" i="7"/>
  <c r="E119" i="7"/>
  <c r="D119" i="7"/>
  <c r="H118" i="7"/>
  <c r="G118" i="7"/>
  <c r="E118" i="7"/>
  <c r="D118" i="7"/>
  <c r="H117" i="7"/>
  <c r="G117" i="7"/>
  <c r="E117" i="7"/>
  <c r="D117" i="7"/>
  <c r="H116" i="7"/>
  <c r="G116" i="7"/>
  <c r="E116" i="7"/>
  <c r="D116" i="7"/>
  <c r="H115" i="7"/>
  <c r="G115" i="7"/>
  <c r="E115" i="7"/>
  <c r="D115" i="7"/>
  <c r="H114" i="7"/>
  <c r="G114" i="7"/>
  <c r="E114" i="7"/>
  <c r="F115" i="7" s="1"/>
  <c r="D114" i="7"/>
  <c r="H113" i="7"/>
  <c r="G113" i="7"/>
  <c r="E113" i="7"/>
  <c r="D113" i="7"/>
  <c r="H112" i="7"/>
  <c r="G112" i="7"/>
  <c r="E112" i="7"/>
  <c r="F113" i="7" s="1"/>
  <c r="D112" i="7"/>
  <c r="H111" i="7"/>
  <c r="G111" i="7"/>
  <c r="E111" i="7"/>
  <c r="D111" i="7"/>
  <c r="H110" i="7"/>
  <c r="G110" i="7"/>
  <c r="E110" i="7"/>
  <c r="D110" i="7"/>
  <c r="H109" i="7"/>
  <c r="G109" i="7"/>
  <c r="E109" i="7"/>
  <c r="D109" i="7"/>
  <c r="H108" i="7"/>
  <c r="G108" i="7"/>
  <c r="E108" i="7"/>
  <c r="D108" i="7"/>
  <c r="H107" i="7"/>
  <c r="G107" i="7"/>
  <c r="E107" i="7"/>
  <c r="D107" i="7"/>
  <c r="H106" i="7"/>
  <c r="G106" i="7"/>
  <c r="E106" i="7"/>
  <c r="D106" i="7"/>
  <c r="H105" i="7"/>
  <c r="G105" i="7"/>
  <c r="E105" i="7"/>
  <c r="D105" i="7"/>
  <c r="H104" i="7"/>
  <c r="G104" i="7"/>
  <c r="E104" i="7"/>
  <c r="D104" i="7"/>
  <c r="H103" i="7"/>
  <c r="G103" i="7"/>
  <c r="E103" i="7"/>
  <c r="D103" i="7"/>
  <c r="H102" i="7"/>
  <c r="G102" i="7"/>
  <c r="E102" i="7"/>
  <c r="D102" i="7"/>
  <c r="H101" i="7"/>
  <c r="G101" i="7"/>
  <c r="E101" i="7"/>
  <c r="D101" i="7"/>
  <c r="H100" i="7"/>
  <c r="G100" i="7"/>
  <c r="E100" i="7"/>
  <c r="D100" i="7"/>
  <c r="H99" i="7"/>
  <c r="G99" i="7"/>
  <c r="E99" i="7"/>
  <c r="D99" i="7"/>
  <c r="H98" i="7"/>
  <c r="G98" i="7"/>
  <c r="E98" i="7"/>
  <c r="F99" i="7" s="1"/>
  <c r="D98" i="7"/>
  <c r="H97" i="7"/>
  <c r="G97" i="7"/>
  <c r="E97" i="7"/>
  <c r="F98" i="7" s="1"/>
  <c r="D97" i="7"/>
  <c r="H96" i="7"/>
  <c r="G96" i="7"/>
  <c r="E96" i="7"/>
  <c r="F97" i="7" s="1"/>
  <c r="D96" i="7"/>
  <c r="H95" i="7"/>
  <c r="G95" i="7"/>
  <c r="E95" i="7"/>
  <c r="F96" i="7" s="1"/>
  <c r="D95" i="7"/>
  <c r="H94" i="7"/>
  <c r="G94" i="7"/>
  <c r="E94" i="7"/>
  <c r="D94" i="7"/>
  <c r="H93" i="7"/>
  <c r="G93" i="7"/>
  <c r="E93" i="7"/>
  <c r="D93" i="7"/>
  <c r="H92" i="7"/>
  <c r="G92" i="7"/>
  <c r="E92" i="7"/>
  <c r="D92" i="7"/>
  <c r="H91" i="7"/>
  <c r="G91" i="7"/>
  <c r="E91" i="7"/>
  <c r="D91" i="7"/>
  <c r="H90" i="7"/>
  <c r="G90" i="7"/>
  <c r="E90" i="7"/>
  <c r="D90" i="7"/>
  <c r="H89" i="7"/>
  <c r="G89" i="7"/>
  <c r="E89" i="7"/>
  <c r="D89" i="7"/>
  <c r="H88" i="7"/>
  <c r="G88" i="7"/>
  <c r="E88" i="7"/>
  <c r="D88" i="7"/>
  <c r="H87" i="7"/>
  <c r="G87" i="7"/>
  <c r="E87" i="7"/>
  <c r="D87" i="7"/>
  <c r="H86" i="7"/>
  <c r="G86" i="7"/>
  <c r="E86" i="7"/>
  <c r="D86" i="7"/>
  <c r="H85" i="7"/>
  <c r="G85" i="7"/>
  <c r="E85" i="7"/>
  <c r="D85" i="7"/>
  <c r="H84" i="7"/>
  <c r="G84" i="7"/>
  <c r="E84" i="7"/>
  <c r="D84" i="7"/>
  <c r="H83" i="7"/>
  <c r="G83" i="7"/>
  <c r="E83" i="7"/>
  <c r="D83" i="7"/>
  <c r="H82" i="7"/>
  <c r="G82" i="7"/>
  <c r="E82" i="7"/>
  <c r="D82" i="7"/>
  <c r="H81" i="7"/>
  <c r="G81" i="7"/>
  <c r="E81" i="7"/>
  <c r="D81" i="7"/>
  <c r="H80" i="7"/>
  <c r="G80" i="7"/>
  <c r="E80" i="7"/>
  <c r="D80" i="7"/>
  <c r="H79" i="7"/>
  <c r="G79" i="7"/>
  <c r="E79" i="7"/>
  <c r="D79" i="7"/>
  <c r="H78" i="7"/>
  <c r="G78" i="7"/>
  <c r="E78" i="7"/>
  <c r="D78" i="7"/>
  <c r="H77" i="7"/>
  <c r="G77" i="7"/>
  <c r="E77" i="7"/>
  <c r="D77" i="7"/>
  <c r="H76" i="7"/>
  <c r="G76" i="7"/>
  <c r="E76" i="7"/>
  <c r="D76" i="7"/>
  <c r="H75" i="7"/>
  <c r="G75" i="7"/>
  <c r="E75" i="7"/>
  <c r="D75" i="7"/>
  <c r="H74" i="7"/>
  <c r="G74" i="7"/>
  <c r="E74" i="7"/>
  <c r="D74" i="7"/>
  <c r="H73" i="7"/>
  <c r="G73" i="7"/>
  <c r="E73" i="7"/>
  <c r="D73" i="7"/>
  <c r="H72" i="7"/>
  <c r="G72" i="7"/>
  <c r="E72" i="7"/>
  <c r="D72" i="7"/>
  <c r="H71" i="7"/>
  <c r="G71" i="7"/>
  <c r="E71" i="7"/>
  <c r="D71" i="7"/>
  <c r="H70" i="7"/>
  <c r="G70" i="7"/>
  <c r="E70" i="7"/>
  <c r="D70" i="7"/>
  <c r="H69" i="7"/>
  <c r="G69" i="7"/>
  <c r="E69" i="7"/>
  <c r="D69" i="7"/>
  <c r="H68" i="7"/>
  <c r="G68" i="7"/>
  <c r="E68" i="7"/>
  <c r="D68" i="7"/>
  <c r="H67" i="7"/>
  <c r="G67" i="7"/>
  <c r="E67" i="7"/>
  <c r="D67" i="7"/>
  <c r="H66" i="7"/>
  <c r="G66" i="7"/>
  <c r="E66" i="7"/>
  <c r="D66" i="7"/>
  <c r="H65" i="7"/>
  <c r="G65" i="7"/>
  <c r="E65" i="7"/>
  <c r="D65" i="7"/>
  <c r="H64" i="7"/>
  <c r="G64" i="7"/>
  <c r="E64" i="7"/>
  <c r="D64" i="7"/>
  <c r="H63" i="7"/>
  <c r="G63" i="7"/>
  <c r="E63" i="7"/>
  <c r="D63" i="7"/>
  <c r="H62" i="7"/>
  <c r="G62" i="7"/>
  <c r="E62" i="7"/>
  <c r="D62" i="7"/>
  <c r="H61" i="7"/>
  <c r="G61" i="7"/>
  <c r="E61" i="7"/>
  <c r="D61" i="7"/>
  <c r="H60" i="7"/>
  <c r="G60" i="7"/>
  <c r="E60" i="7"/>
  <c r="D60" i="7"/>
  <c r="H59" i="7"/>
  <c r="G59" i="7"/>
  <c r="E59" i="7"/>
  <c r="D59" i="7"/>
  <c r="H58" i="7"/>
  <c r="G58" i="7"/>
  <c r="E58" i="7"/>
  <c r="D58" i="7"/>
  <c r="H57" i="7"/>
  <c r="G57" i="7"/>
  <c r="E57" i="7"/>
  <c r="D57" i="7"/>
  <c r="H56" i="7"/>
  <c r="G56" i="7"/>
  <c r="E56" i="7"/>
  <c r="D56" i="7"/>
  <c r="H55" i="7"/>
  <c r="G55" i="7"/>
  <c r="E55" i="7"/>
  <c r="D55" i="7"/>
  <c r="H54" i="7"/>
  <c r="G54" i="7"/>
  <c r="E54" i="7"/>
  <c r="D54" i="7"/>
  <c r="H53" i="7"/>
  <c r="G53" i="7"/>
  <c r="E53" i="7"/>
  <c r="D53" i="7"/>
  <c r="H52" i="7"/>
  <c r="G52" i="7"/>
  <c r="E52" i="7"/>
  <c r="D52" i="7"/>
  <c r="H51" i="7"/>
  <c r="G51" i="7"/>
  <c r="E51" i="7"/>
  <c r="D51" i="7"/>
  <c r="H50" i="7"/>
  <c r="G50" i="7"/>
  <c r="E50" i="7"/>
  <c r="D50" i="7"/>
  <c r="H49" i="7"/>
  <c r="G49" i="7"/>
  <c r="E49" i="7"/>
  <c r="D49" i="7"/>
  <c r="H48" i="7"/>
  <c r="G48" i="7"/>
  <c r="E48" i="7"/>
  <c r="D48" i="7"/>
  <c r="H47" i="7"/>
  <c r="G47" i="7"/>
  <c r="E47" i="7"/>
  <c r="D47" i="7"/>
  <c r="H46" i="7"/>
  <c r="G46" i="7"/>
  <c r="E46" i="7"/>
  <c r="D46" i="7"/>
  <c r="H45" i="7"/>
  <c r="G45" i="7"/>
  <c r="E45" i="7"/>
  <c r="D45" i="7"/>
  <c r="H44" i="7"/>
  <c r="G44" i="7"/>
  <c r="E44" i="7"/>
  <c r="D44" i="7"/>
  <c r="H43" i="7"/>
  <c r="G43" i="7"/>
  <c r="E43" i="7"/>
  <c r="D43" i="7"/>
  <c r="H42" i="7"/>
  <c r="G42" i="7"/>
  <c r="E42" i="7"/>
  <c r="D42" i="7"/>
  <c r="H41" i="7"/>
  <c r="G41" i="7"/>
  <c r="E41" i="7"/>
  <c r="D41" i="7"/>
  <c r="H40" i="7"/>
  <c r="G40" i="7"/>
  <c r="E40" i="7"/>
  <c r="D40" i="7"/>
  <c r="H39" i="7"/>
  <c r="G39" i="7"/>
  <c r="E39" i="7"/>
  <c r="D39" i="7"/>
  <c r="H38" i="7"/>
  <c r="G38" i="7"/>
  <c r="E38" i="7"/>
  <c r="D38" i="7"/>
  <c r="H37" i="7"/>
  <c r="G37" i="7"/>
  <c r="E37" i="7"/>
  <c r="D37" i="7"/>
  <c r="H36" i="7"/>
  <c r="G36" i="7"/>
  <c r="E36" i="7"/>
  <c r="D36" i="7"/>
  <c r="H35" i="7"/>
  <c r="G35" i="7"/>
  <c r="E35" i="7"/>
  <c r="D35" i="7"/>
  <c r="H34" i="7"/>
  <c r="G34" i="7"/>
  <c r="E34" i="7"/>
  <c r="D34" i="7"/>
  <c r="H33" i="7"/>
  <c r="G33" i="7"/>
  <c r="E33" i="7"/>
  <c r="D33" i="7"/>
  <c r="H32" i="7"/>
  <c r="G32" i="7"/>
  <c r="E32" i="7"/>
  <c r="D32" i="7"/>
  <c r="H31" i="7"/>
  <c r="G31" i="7"/>
  <c r="E31" i="7"/>
  <c r="D31" i="7"/>
  <c r="H30" i="7"/>
  <c r="G30" i="7"/>
  <c r="E30" i="7"/>
  <c r="D30" i="7"/>
  <c r="H29" i="7"/>
  <c r="G29" i="7"/>
  <c r="E29" i="7"/>
  <c r="D29" i="7"/>
  <c r="H28" i="7"/>
  <c r="G28" i="7"/>
  <c r="E28" i="7"/>
  <c r="D28" i="7"/>
  <c r="H27" i="7"/>
  <c r="G27" i="7"/>
  <c r="E27" i="7"/>
  <c r="D27" i="7"/>
  <c r="H26" i="7"/>
  <c r="G26" i="7"/>
  <c r="E26" i="7"/>
  <c r="D26" i="7"/>
  <c r="H25" i="7"/>
  <c r="G25" i="7"/>
  <c r="E25" i="7"/>
  <c r="D25" i="7"/>
  <c r="H24" i="7"/>
  <c r="G24" i="7"/>
  <c r="E24" i="7"/>
  <c r="D24" i="7"/>
  <c r="H23" i="7"/>
  <c r="G23" i="7"/>
  <c r="E23" i="7"/>
  <c r="D23" i="7"/>
  <c r="H22" i="7"/>
  <c r="G22" i="7"/>
  <c r="E22" i="7"/>
  <c r="D22" i="7"/>
  <c r="H21" i="7"/>
  <c r="G21" i="7"/>
  <c r="E21" i="7"/>
  <c r="D21" i="7"/>
  <c r="H20" i="7"/>
  <c r="G20" i="7"/>
  <c r="E20" i="7"/>
  <c r="D20" i="7"/>
  <c r="H19" i="7"/>
  <c r="G19" i="7"/>
  <c r="E19" i="7"/>
  <c r="D19" i="7"/>
  <c r="H18" i="7"/>
  <c r="G18" i="7"/>
  <c r="E18" i="7"/>
  <c r="D18" i="7"/>
  <c r="H17" i="7"/>
  <c r="G17" i="7"/>
  <c r="E17" i="7"/>
  <c r="D17" i="7"/>
  <c r="H16" i="7"/>
  <c r="G16" i="7"/>
  <c r="E16" i="7"/>
  <c r="D16" i="7"/>
  <c r="H15" i="7"/>
  <c r="G15" i="7"/>
  <c r="E15" i="7"/>
  <c r="D15" i="7"/>
  <c r="H14" i="7"/>
  <c r="G14" i="7"/>
  <c r="E14" i="7"/>
  <c r="D14" i="7"/>
  <c r="H13" i="7"/>
  <c r="G13" i="7"/>
  <c r="E13" i="7"/>
  <c r="D13" i="7"/>
  <c r="H12" i="7"/>
  <c r="G12" i="7"/>
  <c r="E12" i="7"/>
  <c r="D12" i="7"/>
  <c r="H11" i="7"/>
  <c r="G11" i="7"/>
  <c r="E11" i="7"/>
  <c r="D11" i="7"/>
  <c r="H10" i="7"/>
  <c r="G10" i="7"/>
  <c r="E10" i="7"/>
  <c r="D10" i="7"/>
  <c r="H9" i="7"/>
  <c r="G9" i="7"/>
  <c r="E9" i="7"/>
  <c r="D9" i="7"/>
  <c r="H8" i="7"/>
  <c r="G8" i="7"/>
  <c r="E8" i="7"/>
  <c r="D8" i="7"/>
  <c r="H7" i="7"/>
  <c r="G7" i="7"/>
  <c r="E7" i="7"/>
  <c r="D7" i="7"/>
  <c r="H6" i="7"/>
  <c r="G6" i="7"/>
  <c r="F6" i="7"/>
  <c r="E6" i="7"/>
  <c r="D6" i="7"/>
  <c r="E30" i="5"/>
  <c r="D30" i="5"/>
  <c r="J30" i="5" s="1"/>
  <c r="E29" i="5"/>
  <c r="D29" i="5"/>
  <c r="J29" i="5" s="1"/>
  <c r="E28" i="5"/>
  <c r="D28" i="5"/>
  <c r="J28" i="5" s="1"/>
  <c r="E27" i="5"/>
  <c r="D27" i="5"/>
  <c r="J27" i="5" s="1"/>
  <c r="E26" i="5"/>
  <c r="D26" i="5"/>
  <c r="J26" i="5" s="1"/>
  <c r="E25" i="5"/>
  <c r="D25" i="5"/>
  <c r="J25" i="5" s="1"/>
  <c r="E24" i="5"/>
  <c r="D24" i="5"/>
  <c r="J24" i="5" s="1"/>
  <c r="E23" i="5"/>
  <c r="D23" i="5"/>
  <c r="J23" i="5" s="1"/>
  <c r="E22" i="5"/>
  <c r="D22" i="5"/>
  <c r="J22" i="5" s="1"/>
  <c r="E21" i="5"/>
  <c r="D21" i="5"/>
  <c r="J21" i="5" s="1"/>
  <c r="E20" i="5"/>
  <c r="D20" i="5"/>
  <c r="J20" i="5" s="1"/>
  <c r="E19" i="5"/>
  <c r="D19" i="5"/>
  <c r="J19" i="5" s="1"/>
  <c r="E18" i="5"/>
  <c r="D18" i="5"/>
  <c r="J18" i="5" s="1"/>
  <c r="E17" i="5"/>
  <c r="D17" i="5"/>
  <c r="J17" i="5" s="1"/>
  <c r="E16" i="5"/>
  <c r="D16" i="5"/>
  <c r="J16" i="5" s="1"/>
  <c r="E15" i="5"/>
  <c r="D15" i="5"/>
  <c r="J15" i="5" s="1"/>
  <c r="E14" i="5"/>
  <c r="D14" i="5"/>
  <c r="J14" i="5" s="1"/>
  <c r="E13" i="5"/>
  <c r="D13" i="5"/>
  <c r="J13" i="5" s="1"/>
  <c r="E12" i="5"/>
  <c r="D12" i="5"/>
  <c r="J12" i="5" s="1"/>
  <c r="E11" i="5"/>
  <c r="D11" i="5"/>
  <c r="J11" i="5" s="1"/>
  <c r="E10" i="5"/>
  <c r="D10" i="5"/>
  <c r="J10" i="5" s="1"/>
  <c r="E9" i="5"/>
  <c r="D9" i="5"/>
  <c r="J9" i="5" s="1"/>
  <c r="E8" i="5"/>
  <c r="D8" i="5"/>
  <c r="J8" i="5" s="1"/>
  <c r="E7" i="5"/>
  <c r="D7" i="5"/>
  <c r="J7" i="5" s="1"/>
  <c r="E6" i="5"/>
  <c r="D6" i="5"/>
  <c r="J6" i="5" s="1"/>
  <c r="AY135" i="4"/>
  <c r="AX135" i="4"/>
  <c r="AW135" i="4"/>
  <c r="AV135" i="4"/>
  <c r="AU135" i="4"/>
  <c r="AT135" i="4"/>
  <c r="AS135" i="4"/>
  <c r="AR135" i="4"/>
  <c r="AQ135" i="4"/>
  <c r="AP135" i="4"/>
  <c r="AO135" i="4"/>
  <c r="AN135" i="4"/>
  <c r="AM135" i="4"/>
  <c r="AL135" i="4"/>
  <c r="AK135" i="4"/>
  <c r="AJ135" i="4"/>
  <c r="AI135" i="4"/>
  <c r="AH135" i="4"/>
  <c r="AG135" i="4"/>
  <c r="AF135" i="4"/>
  <c r="AE135" i="4"/>
  <c r="AD135"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B135" i="4"/>
  <c r="AY134" i="4"/>
  <c r="AX134" i="4"/>
  <c r="AW134" i="4"/>
  <c r="AV134" i="4"/>
  <c r="AU134" i="4"/>
  <c r="AT134" i="4"/>
  <c r="AS134" i="4"/>
  <c r="AR134" i="4"/>
  <c r="AQ134" i="4"/>
  <c r="AP134" i="4"/>
  <c r="AO134" i="4"/>
  <c r="AN134" i="4"/>
  <c r="AM134" i="4"/>
  <c r="AL134" i="4"/>
  <c r="AK134" i="4"/>
  <c r="AJ134" i="4"/>
  <c r="AI134" i="4"/>
  <c r="AH134" i="4"/>
  <c r="AG134" i="4"/>
  <c r="AF134" i="4"/>
  <c r="AE134" i="4"/>
  <c r="AD134"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B134" i="4"/>
  <c r="AY133" i="4"/>
  <c r="AX133" i="4"/>
  <c r="AW133" i="4"/>
  <c r="AV133" i="4"/>
  <c r="AU133" i="4"/>
  <c r="AT133" i="4"/>
  <c r="AS133" i="4"/>
  <c r="AR133" i="4"/>
  <c r="AQ133" i="4"/>
  <c r="AP133" i="4"/>
  <c r="AO133" i="4"/>
  <c r="AN133" i="4"/>
  <c r="AM133" i="4"/>
  <c r="AL133" i="4"/>
  <c r="AK133" i="4"/>
  <c r="AJ133" i="4"/>
  <c r="AI133" i="4"/>
  <c r="AH133" i="4"/>
  <c r="AG133" i="4"/>
  <c r="AF133" i="4"/>
  <c r="AE133" i="4"/>
  <c r="AD133"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B133" i="4"/>
  <c r="AY132" i="4"/>
  <c r="AX132" i="4"/>
  <c r="AW132" i="4"/>
  <c r="AV132" i="4"/>
  <c r="AU132" i="4"/>
  <c r="AT132" i="4"/>
  <c r="AS132" i="4"/>
  <c r="AR132" i="4"/>
  <c r="AQ132" i="4"/>
  <c r="AP132" i="4"/>
  <c r="AO132" i="4"/>
  <c r="AN132" i="4"/>
  <c r="AM132" i="4"/>
  <c r="AL132" i="4"/>
  <c r="AK132" i="4"/>
  <c r="AJ132" i="4"/>
  <c r="AI132" i="4"/>
  <c r="AH132" i="4"/>
  <c r="AG132" i="4"/>
  <c r="AF132" i="4"/>
  <c r="AE132" i="4"/>
  <c r="AD132"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B132" i="4"/>
  <c r="AY131" i="4"/>
  <c r="AX131" i="4"/>
  <c r="AW131" i="4"/>
  <c r="AV131" i="4"/>
  <c r="AU131" i="4"/>
  <c r="AT131" i="4"/>
  <c r="AS131" i="4"/>
  <c r="AR131" i="4"/>
  <c r="AQ131" i="4"/>
  <c r="AP131" i="4"/>
  <c r="AO131" i="4"/>
  <c r="AN131" i="4"/>
  <c r="AM131" i="4"/>
  <c r="AL131" i="4"/>
  <c r="AK131" i="4"/>
  <c r="AJ131" i="4"/>
  <c r="AI131" i="4"/>
  <c r="AH131" i="4"/>
  <c r="AG131" i="4"/>
  <c r="AF131" i="4"/>
  <c r="AE131" i="4"/>
  <c r="AD131"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B131" i="4"/>
  <c r="AY130" i="4"/>
  <c r="AX130" i="4"/>
  <c r="AW130" i="4"/>
  <c r="AV130" i="4"/>
  <c r="AU130" i="4"/>
  <c r="AT130" i="4"/>
  <c r="AS130" i="4"/>
  <c r="AR130" i="4"/>
  <c r="AQ130" i="4"/>
  <c r="AP130" i="4"/>
  <c r="AO130" i="4"/>
  <c r="AN130" i="4"/>
  <c r="AM130" i="4"/>
  <c r="AL130" i="4"/>
  <c r="AK130" i="4"/>
  <c r="AJ130" i="4"/>
  <c r="AI130" i="4"/>
  <c r="AH130" i="4"/>
  <c r="AG130" i="4"/>
  <c r="AF130" i="4"/>
  <c r="AE130" i="4"/>
  <c r="AD130"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B130" i="4"/>
  <c r="AY129" i="4"/>
  <c r="AX129" i="4"/>
  <c r="AW129" i="4"/>
  <c r="AV129" i="4"/>
  <c r="AU129" i="4"/>
  <c r="AT129" i="4"/>
  <c r="AS129" i="4"/>
  <c r="AR129" i="4"/>
  <c r="AQ129" i="4"/>
  <c r="AP129" i="4"/>
  <c r="AO129" i="4"/>
  <c r="AN129" i="4"/>
  <c r="AM129" i="4"/>
  <c r="AL129" i="4"/>
  <c r="AK129" i="4"/>
  <c r="AJ129" i="4"/>
  <c r="AI129" i="4"/>
  <c r="AH129" i="4"/>
  <c r="AG129" i="4"/>
  <c r="AF129" i="4"/>
  <c r="AE129" i="4"/>
  <c r="AD129"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B129" i="4"/>
  <c r="AY128" i="4"/>
  <c r="AX128" i="4"/>
  <c r="AW128" i="4"/>
  <c r="AV128" i="4"/>
  <c r="AU128" i="4"/>
  <c r="AT128" i="4"/>
  <c r="AS128" i="4"/>
  <c r="AR128" i="4"/>
  <c r="AQ128" i="4"/>
  <c r="AP128" i="4"/>
  <c r="AO128" i="4"/>
  <c r="AN128" i="4"/>
  <c r="AM128" i="4"/>
  <c r="AL128" i="4"/>
  <c r="AK128" i="4"/>
  <c r="AJ128" i="4"/>
  <c r="AI128" i="4"/>
  <c r="AH128" i="4"/>
  <c r="AG128" i="4"/>
  <c r="AF128" i="4"/>
  <c r="AE128" i="4"/>
  <c r="AD128"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B128" i="4"/>
  <c r="AY127" i="4"/>
  <c r="AX127" i="4"/>
  <c r="AW127" i="4"/>
  <c r="AV127" i="4"/>
  <c r="AU127" i="4"/>
  <c r="AT127" i="4"/>
  <c r="AS127" i="4"/>
  <c r="AR127" i="4"/>
  <c r="AQ127" i="4"/>
  <c r="AP127" i="4"/>
  <c r="AO127" i="4"/>
  <c r="AN127" i="4"/>
  <c r="AM127" i="4"/>
  <c r="AL127" i="4"/>
  <c r="AK127" i="4"/>
  <c r="AJ127" i="4"/>
  <c r="AI127" i="4"/>
  <c r="AH127" i="4"/>
  <c r="AG127" i="4"/>
  <c r="AF127" i="4"/>
  <c r="AE127" i="4"/>
  <c r="AD127"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B127" i="4"/>
  <c r="AY126" i="4"/>
  <c r="AX126" i="4"/>
  <c r="AW126" i="4"/>
  <c r="AV126" i="4"/>
  <c r="AU126" i="4"/>
  <c r="AT126" i="4"/>
  <c r="AS126" i="4"/>
  <c r="AR126" i="4"/>
  <c r="AQ126" i="4"/>
  <c r="AP126" i="4"/>
  <c r="AO126" i="4"/>
  <c r="AN126" i="4"/>
  <c r="AM126" i="4"/>
  <c r="AL126" i="4"/>
  <c r="AK126" i="4"/>
  <c r="AJ126" i="4"/>
  <c r="AI126" i="4"/>
  <c r="AH126" i="4"/>
  <c r="AG126" i="4"/>
  <c r="AF126" i="4"/>
  <c r="AE126" i="4"/>
  <c r="AD126"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B126" i="4"/>
  <c r="AY125" i="4"/>
  <c r="AX125" i="4"/>
  <c r="AW125" i="4"/>
  <c r="AV125" i="4"/>
  <c r="AU125" i="4"/>
  <c r="AT125" i="4"/>
  <c r="AS125" i="4"/>
  <c r="AR125" i="4"/>
  <c r="AQ125" i="4"/>
  <c r="AP125" i="4"/>
  <c r="AO125" i="4"/>
  <c r="AN125" i="4"/>
  <c r="AM125" i="4"/>
  <c r="AL125" i="4"/>
  <c r="AK125" i="4"/>
  <c r="AJ125" i="4"/>
  <c r="AI125" i="4"/>
  <c r="AH125" i="4"/>
  <c r="AG125" i="4"/>
  <c r="AF125" i="4"/>
  <c r="AE125" i="4"/>
  <c r="AD125"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B125" i="4"/>
  <c r="AY124" i="4"/>
  <c r="AX124" i="4"/>
  <c r="AW124" i="4"/>
  <c r="AV124" i="4"/>
  <c r="AU124" i="4"/>
  <c r="AT124" i="4"/>
  <c r="AS124" i="4"/>
  <c r="AR124" i="4"/>
  <c r="AQ124" i="4"/>
  <c r="AP124" i="4"/>
  <c r="AO124" i="4"/>
  <c r="AN124" i="4"/>
  <c r="AM124" i="4"/>
  <c r="AL124" i="4"/>
  <c r="AK124" i="4"/>
  <c r="AJ124" i="4"/>
  <c r="AI124" i="4"/>
  <c r="AH124" i="4"/>
  <c r="AG124" i="4"/>
  <c r="AF124" i="4"/>
  <c r="AE124" i="4"/>
  <c r="AD124"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B124" i="4"/>
  <c r="AY123" i="4"/>
  <c r="AX123" i="4"/>
  <c r="AW123" i="4"/>
  <c r="AV123" i="4"/>
  <c r="AU123" i="4"/>
  <c r="AT123" i="4"/>
  <c r="AS123" i="4"/>
  <c r="AR123" i="4"/>
  <c r="AQ123" i="4"/>
  <c r="AP123" i="4"/>
  <c r="AO123" i="4"/>
  <c r="AN123" i="4"/>
  <c r="AM123" i="4"/>
  <c r="AL123" i="4"/>
  <c r="AK123" i="4"/>
  <c r="AJ123" i="4"/>
  <c r="AI123" i="4"/>
  <c r="AH123" i="4"/>
  <c r="AG123" i="4"/>
  <c r="AF123" i="4"/>
  <c r="AE123" i="4"/>
  <c r="AD123"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B123" i="4"/>
  <c r="AY122" i="4"/>
  <c r="AX122" i="4"/>
  <c r="AW122" i="4"/>
  <c r="AV122" i="4"/>
  <c r="AU122" i="4"/>
  <c r="AT122" i="4"/>
  <c r="AS122" i="4"/>
  <c r="AR122" i="4"/>
  <c r="AQ122" i="4"/>
  <c r="AP122" i="4"/>
  <c r="AO122" i="4"/>
  <c r="AN122" i="4"/>
  <c r="AM122" i="4"/>
  <c r="AL122" i="4"/>
  <c r="AK122" i="4"/>
  <c r="AJ122" i="4"/>
  <c r="AI122" i="4"/>
  <c r="AH122" i="4"/>
  <c r="AG122" i="4"/>
  <c r="AF122" i="4"/>
  <c r="AE122" i="4"/>
  <c r="AD122"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B122" i="4"/>
  <c r="AY121" i="4"/>
  <c r="AX121" i="4"/>
  <c r="AW121" i="4"/>
  <c r="AV121" i="4"/>
  <c r="AU121" i="4"/>
  <c r="AT121" i="4"/>
  <c r="AS121" i="4"/>
  <c r="AR121" i="4"/>
  <c r="AQ121" i="4"/>
  <c r="AP121" i="4"/>
  <c r="AO121" i="4"/>
  <c r="AN121" i="4"/>
  <c r="AM121" i="4"/>
  <c r="AL121" i="4"/>
  <c r="AK121" i="4"/>
  <c r="AJ121" i="4"/>
  <c r="AI121" i="4"/>
  <c r="AH121" i="4"/>
  <c r="AG121" i="4"/>
  <c r="AF121" i="4"/>
  <c r="AE121" i="4"/>
  <c r="AD121"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B121" i="4"/>
  <c r="AY120" i="4"/>
  <c r="AX120" i="4"/>
  <c r="AW120" i="4"/>
  <c r="AV120" i="4"/>
  <c r="AU120" i="4"/>
  <c r="AT120" i="4"/>
  <c r="AS120" i="4"/>
  <c r="AR120" i="4"/>
  <c r="AQ120" i="4"/>
  <c r="AP120" i="4"/>
  <c r="AO120" i="4"/>
  <c r="AN120" i="4"/>
  <c r="AM120" i="4"/>
  <c r="AL120" i="4"/>
  <c r="AK120" i="4"/>
  <c r="AJ120" i="4"/>
  <c r="AI120" i="4"/>
  <c r="AH120" i="4"/>
  <c r="AG120" i="4"/>
  <c r="AF120" i="4"/>
  <c r="AE120" i="4"/>
  <c r="AD120"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B120" i="4"/>
  <c r="AY119" i="4"/>
  <c r="AX119" i="4"/>
  <c r="AW119" i="4"/>
  <c r="AV119" i="4"/>
  <c r="AU119" i="4"/>
  <c r="AT119" i="4"/>
  <c r="AS119" i="4"/>
  <c r="AR119" i="4"/>
  <c r="AQ119" i="4"/>
  <c r="AP119" i="4"/>
  <c r="AO119" i="4"/>
  <c r="AN119" i="4"/>
  <c r="AM119" i="4"/>
  <c r="AL119" i="4"/>
  <c r="AK119" i="4"/>
  <c r="AJ119" i="4"/>
  <c r="AI119" i="4"/>
  <c r="AH119" i="4"/>
  <c r="AG119" i="4"/>
  <c r="AF119" i="4"/>
  <c r="AE119" i="4"/>
  <c r="AD119"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B119" i="4"/>
  <c r="AY118" i="4"/>
  <c r="AX118" i="4"/>
  <c r="AW118" i="4"/>
  <c r="AV118" i="4"/>
  <c r="AU118" i="4"/>
  <c r="AT118" i="4"/>
  <c r="AS118" i="4"/>
  <c r="AR118" i="4"/>
  <c r="AQ118" i="4"/>
  <c r="AP118" i="4"/>
  <c r="AO118" i="4"/>
  <c r="AN118" i="4"/>
  <c r="AM118" i="4"/>
  <c r="AL118" i="4"/>
  <c r="AK118" i="4"/>
  <c r="AJ118" i="4"/>
  <c r="AI118" i="4"/>
  <c r="AH118" i="4"/>
  <c r="AG118" i="4"/>
  <c r="AF118" i="4"/>
  <c r="AE118" i="4"/>
  <c r="AD118"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B118" i="4"/>
  <c r="AY117" i="4"/>
  <c r="AX117" i="4"/>
  <c r="AW117" i="4"/>
  <c r="AV117" i="4"/>
  <c r="AU117" i="4"/>
  <c r="AT117" i="4"/>
  <c r="AS117" i="4"/>
  <c r="AR117" i="4"/>
  <c r="AQ117" i="4"/>
  <c r="AP117" i="4"/>
  <c r="AO117" i="4"/>
  <c r="AN117" i="4"/>
  <c r="AM117" i="4"/>
  <c r="AL117" i="4"/>
  <c r="AK117" i="4"/>
  <c r="AJ117" i="4"/>
  <c r="AI117" i="4"/>
  <c r="AH117" i="4"/>
  <c r="AG117" i="4"/>
  <c r="AF117" i="4"/>
  <c r="AE117" i="4"/>
  <c r="AD117"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B117" i="4"/>
  <c r="AY116" i="4"/>
  <c r="AX116" i="4"/>
  <c r="AW116" i="4"/>
  <c r="AV116" i="4"/>
  <c r="AU116" i="4"/>
  <c r="AT116" i="4"/>
  <c r="AS116" i="4"/>
  <c r="AR116" i="4"/>
  <c r="AQ116" i="4"/>
  <c r="AP116" i="4"/>
  <c r="AO116" i="4"/>
  <c r="AN116" i="4"/>
  <c r="AM116" i="4"/>
  <c r="AL116" i="4"/>
  <c r="AK116" i="4"/>
  <c r="AJ116" i="4"/>
  <c r="AI116" i="4"/>
  <c r="AH116" i="4"/>
  <c r="AG116" i="4"/>
  <c r="AF116" i="4"/>
  <c r="AE116" i="4"/>
  <c r="AD116"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B116" i="4"/>
  <c r="AY115" i="4"/>
  <c r="AX115" i="4"/>
  <c r="AW115" i="4"/>
  <c r="AV115" i="4"/>
  <c r="AU115" i="4"/>
  <c r="AT115" i="4"/>
  <c r="AS115" i="4"/>
  <c r="AR115" i="4"/>
  <c r="AQ115" i="4"/>
  <c r="AP115" i="4"/>
  <c r="AO115" i="4"/>
  <c r="AN115" i="4"/>
  <c r="AM115" i="4"/>
  <c r="AL115" i="4"/>
  <c r="AK115" i="4"/>
  <c r="AJ115" i="4"/>
  <c r="AI115" i="4"/>
  <c r="AH115" i="4"/>
  <c r="AG115" i="4"/>
  <c r="AF115" i="4"/>
  <c r="AE115" i="4"/>
  <c r="AD115"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B115" i="4"/>
  <c r="AY114" i="4"/>
  <c r="AX114" i="4"/>
  <c r="AW114" i="4"/>
  <c r="AV114" i="4"/>
  <c r="AU114" i="4"/>
  <c r="AT114" i="4"/>
  <c r="AS114" i="4"/>
  <c r="AR114" i="4"/>
  <c r="AQ114" i="4"/>
  <c r="AP114" i="4"/>
  <c r="AO114" i="4"/>
  <c r="AN114" i="4"/>
  <c r="AM114" i="4"/>
  <c r="AL114" i="4"/>
  <c r="AK114" i="4"/>
  <c r="AJ114" i="4"/>
  <c r="AI114" i="4"/>
  <c r="AH114" i="4"/>
  <c r="AG114" i="4"/>
  <c r="AF114" i="4"/>
  <c r="AE114" i="4"/>
  <c r="AD114"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B114" i="4"/>
  <c r="AY113" i="4"/>
  <c r="AX113" i="4"/>
  <c r="AW113" i="4"/>
  <c r="AV113" i="4"/>
  <c r="AU113" i="4"/>
  <c r="AT113" i="4"/>
  <c r="AS113" i="4"/>
  <c r="AR113" i="4"/>
  <c r="AQ113" i="4"/>
  <c r="AP113" i="4"/>
  <c r="AO113" i="4"/>
  <c r="AN113" i="4"/>
  <c r="AM113" i="4"/>
  <c r="AL113" i="4"/>
  <c r="AK113" i="4"/>
  <c r="AJ113" i="4"/>
  <c r="AI113" i="4"/>
  <c r="AH113" i="4"/>
  <c r="AG113" i="4"/>
  <c r="AF113" i="4"/>
  <c r="AE113" i="4"/>
  <c r="AD113"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B113" i="4"/>
  <c r="AY112" i="4"/>
  <c r="AX112" i="4"/>
  <c r="AW112" i="4"/>
  <c r="AV112" i="4"/>
  <c r="AU112" i="4"/>
  <c r="AT112" i="4"/>
  <c r="AS112" i="4"/>
  <c r="AR112" i="4"/>
  <c r="AQ112" i="4"/>
  <c r="AP112" i="4"/>
  <c r="AO112" i="4"/>
  <c r="AN112" i="4"/>
  <c r="AM112" i="4"/>
  <c r="AL112" i="4"/>
  <c r="AK112" i="4"/>
  <c r="AJ112" i="4"/>
  <c r="AI112" i="4"/>
  <c r="AH112" i="4"/>
  <c r="AG112" i="4"/>
  <c r="AF112" i="4"/>
  <c r="AE112" i="4"/>
  <c r="AD112"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B112" i="4"/>
  <c r="AY111" i="4"/>
  <c r="AX111" i="4"/>
  <c r="AW111" i="4"/>
  <c r="AV111" i="4"/>
  <c r="AU111" i="4"/>
  <c r="AT111" i="4"/>
  <c r="AS111" i="4"/>
  <c r="AR111" i="4"/>
  <c r="AQ111" i="4"/>
  <c r="AP111" i="4"/>
  <c r="AO111" i="4"/>
  <c r="AN111" i="4"/>
  <c r="AM111" i="4"/>
  <c r="AL111" i="4"/>
  <c r="AK111" i="4"/>
  <c r="AJ111" i="4"/>
  <c r="AI111" i="4"/>
  <c r="AH111" i="4"/>
  <c r="AG111" i="4"/>
  <c r="AF111" i="4"/>
  <c r="AE111" i="4"/>
  <c r="AD111"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B111" i="4"/>
  <c r="AY110" i="4"/>
  <c r="AX110" i="4"/>
  <c r="AW110" i="4"/>
  <c r="AV110" i="4"/>
  <c r="AU110" i="4"/>
  <c r="AT110" i="4"/>
  <c r="AS110" i="4"/>
  <c r="AR110" i="4"/>
  <c r="AQ110" i="4"/>
  <c r="AP110" i="4"/>
  <c r="AO110" i="4"/>
  <c r="AN110" i="4"/>
  <c r="AM110" i="4"/>
  <c r="AL110" i="4"/>
  <c r="AK110" i="4"/>
  <c r="AJ110" i="4"/>
  <c r="AI110" i="4"/>
  <c r="AH110" i="4"/>
  <c r="AG110" i="4"/>
  <c r="AF110" i="4"/>
  <c r="AE110" i="4"/>
  <c r="AD110"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B110" i="4"/>
  <c r="AY109" i="4"/>
  <c r="AX109" i="4"/>
  <c r="AW109" i="4"/>
  <c r="AV109" i="4"/>
  <c r="AU109" i="4"/>
  <c r="AT109" i="4"/>
  <c r="AS109" i="4"/>
  <c r="AR109" i="4"/>
  <c r="AQ109" i="4"/>
  <c r="AP109" i="4"/>
  <c r="AO109" i="4"/>
  <c r="AN109" i="4"/>
  <c r="AM109" i="4"/>
  <c r="AL109" i="4"/>
  <c r="AK109" i="4"/>
  <c r="AJ109" i="4"/>
  <c r="AI109" i="4"/>
  <c r="AH109" i="4"/>
  <c r="AG109" i="4"/>
  <c r="AF109" i="4"/>
  <c r="AE109" i="4"/>
  <c r="AD109"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B109" i="4"/>
  <c r="AY108" i="4"/>
  <c r="AX108" i="4"/>
  <c r="AW108" i="4"/>
  <c r="AV108" i="4"/>
  <c r="AU108" i="4"/>
  <c r="AT108" i="4"/>
  <c r="AS108" i="4"/>
  <c r="AR108" i="4"/>
  <c r="AQ108" i="4"/>
  <c r="AP108" i="4"/>
  <c r="AO108" i="4"/>
  <c r="AN108" i="4"/>
  <c r="AM108" i="4"/>
  <c r="AL108" i="4"/>
  <c r="AK108" i="4"/>
  <c r="AJ108" i="4"/>
  <c r="AI108" i="4"/>
  <c r="AH108" i="4"/>
  <c r="AG108" i="4"/>
  <c r="AF108" i="4"/>
  <c r="AE108" i="4"/>
  <c r="AD108"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B108" i="4"/>
  <c r="AY107" i="4"/>
  <c r="AX107" i="4"/>
  <c r="AW107" i="4"/>
  <c r="AV107" i="4"/>
  <c r="AU107" i="4"/>
  <c r="AT107" i="4"/>
  <c r="AS107" i="4"/>
  <c r="AR107" i="4"/>
  <c r="AQ107" i="4"/>
  <c r="AP107" i="4"/>
  <c r="AO107" i="4"/>
  <c r="AN107" i="4"/>
  <c r="AM107" i="4"/>
  <c r="AL107" i="4"/>
  <c r="AK107" i="4"/>
  <c r="AJ107" i="4"/>
  <c r="AI107" i="4"/>
  <c r="AH107" i="4"/>
  <c r="AG107" i="4"/>
  <c r="AF107" i="4"/>
  <c r="AE107" i="4"/>
  <c r="AD107"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B107" i="4"/>
  <c r="AY106" i="4"/>
  <c r="AX106" i="4"/>
  <c r="AW106" i="4"/>
  <c r="AV106" i="4"/>
  <c r="AU106" i="4"/>
  <c r="AT106" i="4"/>
  <c r="AS106" i="4"/>
  <c r="AR106" i="4"/>
  <c r="AQ106" i="4"/>
  <c r="AP106" i="4"/>
  <c r="AO106" i="4"/>
  <c r="AN106" i="4"/>
  <c r="AM106" i="4"/>
  <c r="AL106" i="4"/>
  <c r="AK106" i="4"/>
  <c r="AJ106" i="4"/>
  <c r="AI106" i="4"/>
  <c r="AH106" i="4"/>
  <c r="AG106" i="4"/>
  <c r="AF106" i="4"/>
  <c r="AE106" i="4"/>
  <c r="AD106"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B106" i="4"/>
  <c r="AY105" i="4"/>
  <c r="AX105" i="4"/>
  <c r="AW105" i="4"/>
  <c r="AV105" i="4"/>
  <c r="AU105" i="4"/>
  <c r="AT105" i="4"/>
  <c r="AS105" i="4"/>
  <c r="AR105" i="4"/>
  <c r="AQ105" i="4"/>
  <c r="AP105" i="4"/>
  <c r="AO105" i="4"/>
  <c r="AN105" i="4"/>
  <c r="AM105" i="4"/>
  <c r="AL105" i="4"/>
  <c r="AK105" i="4"/>
  <c r="AJ105" i="4"/>
  <c r="AI105" i="4"/>
  <c r="AH105" i="4"/>
  <c r="AG105" i="4"/>
  <c r="AF105" i="4"/>
  <c r="AE105" i="4"/>
  <c r="AD105"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B105" i="4"/>
  <c r="AY104" i="4"/>
  <c r="AX104" i="4"/>
  <c r="AW104" i="4"/>
  <c r="AV104" i="4"/>
  <c r="AU104" i="4"/>
  <c r="AT104" i="4"/>
  <c r="AS104" i="4"/>
  <c r="AR104" i="4"/>
  <c r="AQ104" i="4"/>
  <c r="AP104" i="4"/>
  <c r="AO104" i="4"/>
  <c r="AN104" i="4"/>
  <c r="AM104" i="4"/>
  <c r="AL104" i="4"/>
  <c r="AK104" i="4"/>
  <c r="AJ104" i="4"/>
  <c r="AI104" i="4"/>
  <c r="AH104" i="4"/>
  <c r="AG104" i="4"/>
  <c r="AF104" i="4"/>
  <c r="AE104" i="4"/>
  <c r="AD104"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B104" i="4"/>
  <c r="AY103" i="4"/>
  <c r="AX103" i="4"/>
  <c r="AW103" i="4"/>
  <c r="AV103" i="4"/>
  <c r="AU103" i="4"/>
  <c r="AT103" i="4"/>
  <c r="AS103" i="4"/>
  <c r="AR103" i="4"/>
  <c r="AQ103" i="4"/>
  <c r="AP103" i="4"/>
  <c r="AO103" i="4"/>
  <c r="AN103" i="4"/>
  <c r="AM103" i="4"/>
  <c r="AL103" i="4"/>
  <c r="AK103" i="4"/>
  <c r="AJ103" i="4"/>
  <c r="AI103" i="4"/>
  <c r="AH103" i="4"/>
  <c r="AG103" i="4"/>
  <c r="AF103" i="4"/>
  <c r="AE103" i="4"/>
  <c r="AD103"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B103" i="4"/>
  <c r="AY102" i="4"/>
  <c r="AX102" i="4"/>
  <c r="AW102" i="4"/>
  <c r="AV102" i="4"/>
  <c r="AU102" i="4"/>
  <c r="AT102" i="4"/>
  <c r="AS102" i="4"/>
  <c r="AR102" i="4"/>
  <c r="AQ102" i="4"/>
  <c r="AP102" i="4"/>
  <c r="AO102" i="4"/>
  <c r="AN102" i="4"/>
  <c r="AM102" i="4"/>
  <c r="AL102" i="4"/>
  <c r="AK102" i="4"/>
  <c r="AJ102" i="4"/>
  <c r="AI102" i="4"/>
  <c r="AH102" i="4"/>
  <c r="AG102" i="4"/>
  <c r="AF102" i="4"/>
  <c r="AE102" i="4"/>
  <c r="AD102"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B102" i="4"/>
  <c r="AY101" i="4"/>
  <c r="AX101" i="4"/>
  <c r="AW101" i="4"/>
  <c r="AV101" i="4"/>
  <c r="AU101" i="4"/>
  <c r="AT101" i="4"/>
  <c r="AS101" i="4"/>
  <c r="AR101" i="4"/>
  <c r="AQ101" i="4"/>
  <c r="AP101" i="4"/>
  <c r="AO101" i="4"/>
  <c r="AN101" i="4"/>
  <c r="AM101" i="4"/>
  <c r="AL101" i="4"/>
  <c r="AK101" i="4"/>
  <c r="AJ101" i="4"/>
  <c r="AI101" i="4"/>
  <c r="AH101" i="4"/>
  <c r="AG101" i="4"/>
  <c r="AF101" i="4"/>
  <c r="AE101" i="4"/>
  <c r="AD101"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B101" i="4"/>
  <c r="AY100" i="4"/>
  <c r="AX100" i="4"/>
  <c r="AW100" i="4"/>
  <c r="AV100" i="4"/>
  <c r="AU100" i="4"/>
  <c r="AT100" i="4"/>
  <c r="AS100" i="4"/>
  <c r="AR100" i="4"/>
  <c r="AQ100" i="4"/>
  <c r="AP100" i="4"/>
  <c r="AO100" i="4"/>
  <c r="AN100" i="4"/>
  <c r="AM100" i="4"/>
  <c r="AL100" i="4"/>
  <c r="AK100" i="4"/>
  <c r="AJ100" i="4"/>
  <c r="AI100" i="4"/>
  <c r="AH100" i="4"/>
  <c r="AG100" i="4"/>
  <c r="AF100" i="4"/>
  <c r="AE100" i="4"/>
  <c r="AD100"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B100" i="4"/>
  <c r="AY99" i="4"/>
  <c r="AX99" i="4"/>
  <c r="AW99" i="4"/>
  <c r="AV99" i="4"/>
  <c r="AU99" i="4"/>
  <c r="AT99" i="4"/>
  <c r="AS99" i="4"/>
  <c r="AR99" i="4"/>
  <c r="AQ99" i="4"/>
  <c r="AP99" i="4"/>
  <c r="AO99" i="4"/>
  <c r="AN99" i="4"/>
  <c r="AM99" i="4"/>
  <c r="AL99" i="4"/>
  <c r="AK99" i="4"/>
  <c r="AJ99" i="4"/>
  <c r="AI99" i="4"/>
  <c r="AH99" i="4"/>
  <c r="AG99" i="4"/>
  <c r="AF99" i="4"/>
  <c r="AE99" i="4"/>
  <c r="AD99"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B99" i="4"/>
  <c r="AY98" i="4"/>
  <c r="AX98" i="4"/>
  <c r="AW98" i="4"/>
  <c r="AV98" i="4"/>
  <c r="AU98" i="4"/>
  <c r="AT98" i="4"/>
  <c r="AS98" i="4"/>
  <c r="AR98" i="4"/>
  <c r="AQ98" i="4"/>
  <c r="AP98" i="4"/>
  <c r="AO98" i="4"/>
  <c r="AN98" i="4"/>
  <c r="AM98" i="4"/>
  <c r="AL98" i="4"/>
  <c r="AK98" i="4"/>
  <c r="AJ98" i="4"/>
  <c r="AI98" i="4"/>
  <c r="AH98" i="4"/>
  <c r="AG98" i="4"/>
  <c r="AF98" i="4"/>
  <c r="AE98" i="4"/>
  <c r="AD98"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B98" i="4"/>
  <c r="AY97" i="4"/>
  <c r="AX97" i="4"/>
  <c r="AW97" i="4"/>
  <c r="AV97" i="4"/>
  <c r="AU97" i="4"/>
  <c r="AT97" i="4"/>
  <c r="AS97" i="4"/>
  <c r="AR97" i="4"/>
  <c r="AQ97" i="4"/>
  <c r="AP97" i="4"/>
  <c r="AO97" i="4"/>
  <c r="AN97" i="4"/>
  <c r="AM97" i="4"/>
  <c r="AL97" i="4"/>
  <c r="AK97" i="4"/>
  <c r="AJ97" i="4"/>
  <c r="AI97" i="4"/>
  <c r="AH97" i="4"/>
  <c r="AG97" i="4"/>
  <c r="AF97" i="4"/>
  <c r="AE97" i="4"/>
  <c r="AD97"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B97" i="4"/>
  <c r="AY96" i="4"/>
  <c r="AX96" i="4"/>
  <c r="AW96" i="4"/>
  <c r="AV96" i="4"/>
  <c r="AU96" i="4"/>
  <c r="AT96" i="4"/>
  <c r="AS96" i="4"/>
  <c r="AR96" i="4"/>
  <c r="AQ96" i="4"/>
  <c r="AP96" i="4"/>
  <c r="AO96" i="4"/>
  <c r="AN96" i="4"/>
  <c r="AM96" i="4"/>
  <c r="AL96" i="4"/>
  <c r="AK96" i="4"/>
  <c r="AJ96" i="4"/>
  <c r="AI96" i="4"/>
  <c r="AH96" i="4"/>
  <c r="AG96" i="4"/>
  <c r="AF96" i="4"/>
  <c r="AE96" i="4"/>
  <c r="AD96"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B96" i="4"/>
  <c r="AY95" i="4"/>
  <c r="AX95" i="4"/>
  <c r="AW95" i="4"/>
  <c r="AV95" i="4"/>
  <c r="AU95" i="4"/>
  <c r="AT95" i="4"/>
  <c r="AS95" i="4"/>
  <c r="AR95" i="4"/>
  <c r="AQ95" i="4"/>
  <c r="AP95" i="4"/>
  <c r="AO95" i="4"/>
  <c r="AN95" i="4"/>
  <c r="AM95" i="4"/>
  <c r="AL95" i="4"/>
  <c r="AK95" i="4"/>
  <c r="AJ95" i="4"/>
  <c r="AI95" i="4"/>
  <c r="AH95" i="4"/>
  <c r="AG95" i="4"/>
  <c r="AF95" i="4"/>
  <c r="AE95" i="4"/>
  <c r="AD95"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B95" i="4"/>
  <c r="AY94" i="4"/>
  <c r="AX94" i="4"/>
  <c r="AW94" i="4"/>
  <c r="AV94" i="4"/>
  <c r="AU94" i="4"/>
  <c r="AT94" i="4"/>
  <c r="AS94" i="4"/>
  <c r="AR94" i="4"/>
  <c r="AQ94" i="4"/>
  <c r="AP94" i="4"/>
  <c r="AO94" i="4"/>
  <c r="AN94" i="4"/>
  <c r="AM94" i="4"/>
  <c r="AL94" i="4"/>
  <c r="AK94" i="4"/>
  <c r="AJ94" i="4"/>
  <c r="AI94" i="4"/>
  <c r="AH94" i="4"/>
  <c r="AG94" i="4"/>
  <c r="AF94" i="4"/>
  <c r="AE94" i="4"/>
  <c r="AD94"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B94" i="4"/>
  <c r="AY93" i="4"/>
  <c r="AX93" i="4"/>
  <c r="AW93" i="4"/>
  <c r="AV93" i="4"/>
  <c r="AU93" i="4"/>
  <c r="AT93" i="4"/>
  <c r="AS93" i="4"/>
  <c r="AR93" i="4"/>
  <c r="AQ93" i="4"/>
  <c r="AP93" i="4"/>
  <c r="AO93" i="4"/>
  <c r="AN93" i="4"/>
  <c r="AM93" i="4"/>
  <c r="AL93" i="4"/>
  <c r="AK93" i="4"/>
  <c r="AJ93" i="4"/>
  <c r="AI93" i="4"/>
  <c r="AH93" i="4"/>
  <c r="AG93" i="4"/>
  <c r="AF93" i="4"/>
  <c r="AE93" i="4"/>
  <c r="AD93"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B93" i="4"/>
  <c r="AY92" i="4"/>
  <c r="AX92" i="4"/>
  <c r="AW92" i="4"/>
  <c r="AV92" i="4"/>
  <c r="AU92" i="4"/>
  <c r="AT92" i="4"/>
  <c r="AS92" i="4"/>
  <c r="AR92" i="4"/>
  <c r="AQ92" i="4"/>
  <c r="AP92" i="4"/>
  <c r="AO92" i="4"/>
  <c r="AN92" i="4"/>
  <c r="AM92" i="4"/>
  <c r="AL92" i="4"/>
  <c r="AK92" i="4"/>
  <c r="AJ92" i="4"/>
  <c r="AI92" i="4"/>
  <c r="AH92" i="4"/>
  <c r="AG92" i="4"/>
  <c r="AF92" i="4"/>
  <c r="AE92" i="4"/>
  <c r="AD92"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B92" i="4"/>
  <c r="AY91" i="4"/>
  <c r="AX91" i="4"/>
  <c r="AW91" i="4"/>
  <c r="AV91" i="4"/>
  <c r="AU91" i="4"/>
  <c r="AT91" i="4"/>
  <c r="AS91" i="4"/>
  <c r="AR91" i="4"/>
  <c r="AQ91" i="4"/>
  <c r="AP91" i="4"/>
  <c r="AO91" i="4"/>
  <c r="AN91" i="4"/>
  <c r="AM91" i="4"/>
  <c r="AL91" i="4"/>
  <c r="AK91" i="4"/>
  <c r="AJ91" i="4"/>
  <c r="AI91" i="4"/>
  <c r="AH91" i="4"/>
  <c r="AG91" i="4"/>
  <c r="AF91" i="4"/>
  <c r="AE91" i="4"/>
  <c r="AD91"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B91" i="4"/>
  <c r="AY90" i="4"/>
  <c r="AX90" i="4"/>
  <c r="AW90" i="4"/>
  <c r="AV90" i="4"/>
  <c r="AU90" i="4"/>
  <c r="AT90" i="4"/>
  <c r="AS90" i="4"/>
  <c r="AR90" i="4"/>
  <c r="AQ90" i="4"/>
  <c r="AP90" i="4"/>
  <c r="AO90" i="4"/>
  <c r="AN90" i="4"/>
  <c r="AM90" i="4"/>
  <c r="AL90" i="4"/>
  <c r="AK90" i="4"/>
  <c r="AJ90" i="4"/>
  <c r="AI90" i="4"/>
  <c r="AH90" i="4"/>
  <c r="AG90" i="4"/>
  <c r="AF90" i="4"/>
  <c r="AE90" i="4"/>
  <c r="AD90"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B90" i="4"/>
  <c r="AY89" i="4"/>
  <c r="AX89" i="4"/>
  <c r="AW89" i="4"/>
  <c r="AV89" i="4"/>
  <c r="AU89" i="4"/>
  <c r="AT89" i="4"/>
  <c r="AS89" i="4"/>
  <c r="AR89" i="4"/>
  <c r="AQ89" i="4"/>
  <c r="AP89" i="4"/>
  <c r="AO89" i="4"/>
  <c r="AN89" i="4"/>
  <c r="AM89" i="4"/>
  <c r="AL89" i="4"/>
  <c r="AK89" i="4"/>
  <c r="AJ89" i="4"/>
  <c r="AI89" i="4"/>
  <c r="AH89" i="4"/>
  <c r="AG89" i="4"/>
  <c r="AF89" i="4"/>
  <c r="AE89" i="4"/>
  <c r="AD89"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B89" i="4"/>
  <c r="AY88" i="4"/>
  <c r="AX88" i="4"/>
  <c r="AW88" i="4"/>
  <c r="AV88" i="4"/>
  <c r="AU88" i="4"/>
  <c r="AT88" i="4"/>
  <c r="AS88" i="4"/>
  <c r="AR88" i="4"/>
  <c r="AQ88" i="4"/>
  <c r="AP88" i="4"/>
  <c r="AO88" i="4"/>
  <c r="AN88" i="4"/>
  <c r="AM88" i="4"/>
  <c r="AL88" i="4"/>
  <c r="AK88" i="4"/>
  <c r="AJ88" i="4"/>
  <c r="AI88" i="4"/>
  <c r="AH88" i="4"/>
  <c r="AG88" i="4"/>
  <c r="AF88" i="4"/>
  <c r="AE88" i="4"/>
  <c r="AD88"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B88" i="4"/>
  <c r="AY87" i="4"/>
  <c r="AX87" i="4"/>
  <c r="AW87" i="4"/>
  <c r="AV87" i="4"/>
  <c r="AU87" i="4"/>
  <c r="AT87" i="4"/>
  <c r="AS87" i="4"/>
  <c r="AR87" i="4"/>
  <c r="AQ87" i="4"/>
  <c r="AP87" i="4"/>
  <c r="AO87" i="4"/>
  <c r="AN87" i="4"/>
  <c r="AM87" i="4"/>
  <c r="AL87" i="4"/>
  <c r="AK87" i="4"/>
  <c r="AJ87" i="4"/>
  <c r="AI87" i="4"/>
  <c r="AH87" i="4"/>
  <c r="AG87" i="4"/>
  <c r="AF87" i="4"/>
  <c r="AE87" i="4"/>
  <c r="AD87"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B87" i="4"/>
  <c r="AY86" i="4"/>
  <c r="AX86" i="4"/>
  <c r="AW86" i="4"/>
  <c r="AV86" i="4"/>
  <c r="AU86" i="4"/>
  <c r="AT86" i="4"/>
  <c r="AS86" i="4"/>
  <c r="AR86" i="4"/>
  <c r="AQ86" i="4"/>
  <c r="AP86" i="4"/>
  <c r="AO86" i="4"/>
  <c r="AN86" i="4"/>
  <c r="AM86" i="4"/>
  <c r="AL86" i="4"/>
  <c r="AK86" i="4"/>
  <c r="AJ86" i="4"/>
  <c r="AI86" i="4"/>
  <c r="AH86" i="4"/>
  <c r="AG86" i="4"/>
  <c r="AF86" i="4"/>
  <c r="AE86" i="4"/>
  <c r="AD86"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B86" i="4"/>
  <c r="AY85" i="4"/>
  <c r="AX85" i="4"/>
  <c r="AW85" i="4"/>
  <c r="AV85" i="4"/>
  <c r="AU85" i="4"/>
  <c r="AT85" i="4"/>
  <c r="AS85" i="4"/>
  <c r="AR85" i="4"/>
  <c r="AQ85" i="4"/>
  <c r="AP85" i="4"/>
  <c r="AO85" i="4"/>
  <c r="AN85" i="4"/>
  <c r="AM85" i="4"/>
  <c r="AL85" i="4"/>
  <c r="AK85" i="4"/>
  <c r="AJ85" i="4"/>
  <c r="AI85" i="4"/>
  <c r="AH85" i="4"/>
  <c r="AG85" i="4"/>
  <c r="AF85" i="4"/>
  <c r="AE85" i="4"/>
  <c r="AD85"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B85" i="4"/>
  <c r="AY84" i="4"/>
  <c r="AX84" i="4"/>
  <c r="AW84" i="4"/>
  <c r="AV84" i="4"/>
  <c r="AU84" i="4"/>
  <c r="AT84" i="4"/>
  <c r="AS84" i="4"/>
  <c r="AR84" i="4"/>
  <c r="AQ84" i="4"/>
  <c r="AP84" i="4"/>
  <c r="AO84" i="4"/>
  <c r="AN84" i="4"/>
  <c r="AM84" i="4"/>
  <c r="AL84" i="4"/>
  <c r="AK84" i="4"/>
  <c r="AJ84" i="4"/>
  <c r="AI84" i="4"/>
  <c r="AH84" i="4"/>
  <c r="AG84" i="4"/>
  <c r="AF84" i="4"/>
  <c r="AE84" i="4"/>
  <c r="AD84"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B84" i="4"/>
  <c r="AY83" i="4"/>
  <c r="AX83" i="4"/>
  <c r="AW83" i="4"/>
  <c r="AV83" i="4"/>
  <c r="AU83" i="4"/>
  <c r="AT83" i="4"/>
  <c r="AS83" i="4"/>
  <c r="AR83" i="4"/>
  <c r="AQ83" i="4"/>
  <c r="AP83" i="4"/>
  <c r="AO83" i="4"/>
  <c r="AN83" i="4"/>
  <c r="AM83" i="4"/>
  <c r="AL83" i="4"/>
  <c r="AK83" i="4"/>
  <c r="AJ83" i="4"/>
  <c r="AI83" i="4"/>
  <c r="AH83" i="4"/>
  <c r="AG83" i="4"/>
  <c r="AF83" i="4"/>
  <c r="AE83" i="4"/>
  <c r="AD83"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B83" i="4"/>
  <c r="AY82" i="4"/>
  <c r="AX82" i="4"/>
  <c r="AW82" i="4"/>
  <c r="AV82" i="4"/>
  <c r="AU82" i="4"/>
  <c r="AT82" i="4"/>
  <c r="AS82" i="4"/>
  <c r="AR82" i="4"/>
  <c r="AQ82" i="4"/>
  <c r="AP82" i="4"/>
  <c r="AO82" i="4"/>
  <c r="AN82" i="4"/>
  <c r="AM82" i="4"/>
  <c r="AL82" i="4"/>
  <c r="AK82" i="4"/>
  <c r="AJ82" i="4"/>
  <c r="AI82" i="4"/>
  <c r="AH82" i="4"/>
  <c r="AG82" i="4"/>
  <c r="AF82" i="4"/>
  <c r="AE82" i="4"/>
  <c r="AD82"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B82" i="4"/>
  <c r="AY81" i="4"/>
  <c r="AX81" i="4"/>
  <c r="AW81" i="4"/>
  <c r="AV81" i="4"/>
  <c r="AU81" i="4"/>
  <c r="AT81" i="4"/>
  <c r="AS81" i="4"/>
  <c r="AR81" i="4"/>
  <c r="AQ81" i="4"/>
  <c r="AP81" i="4"/>
  <c r="AO81" i="4"/>
  <c r="AN81" i="4"/>
  <c r="AM81" i="4"/>
  <c r="AL81" i="4"/>
  <c r="AK81" i="4"/>
  <c r="AJ81" i="4"/>
  <c r="AI81" i="4"/>
  <c r="AH81" i="4"/>
  <c r="AG81" i="4"/>
  <c r="AF81" i="4"/>
  <c r="AE81" i="4"/>
  <c r="AD81"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B81" i="4"/>
  <c r="AY80" i="4"/>
  <c r="AX80" i="4"/>
  <c r="AW80" i="4"/>
  <c r="AV80" i="4"/>
  <c r="AU80" i="4"/>
  <c r="AT80" i="4"/>
  <c r="AS80" i="4"/>
  <c r="AR80" i="4"/>
  <c r="AQ80" i="4"/>
  <c r="AP80" i="4"/>
  <c r="AO80" i="4"/>
  <c r="AN80" i="4"/>
  <c r="AM80" i="4"/>
  <c r="AL80" i="4"/>
  <c r="AK80" i="4"/>
  <c r="AJ80" i="4"/>
  <c r="AI80" i="4"/>
  <c r="AH80" i="4"/>
  <c r="AG80" i="4"/>
  <c r="AF80" i="4"/>
  <c r="AE80" i="4"/>
  <c r="AD80"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B80" i="4"/>
  <c r="AY79" i="4"/>
  <c r="AX79" i="4"/>
  <c r="AW79" i="4"/>
  <c r="AV79" i="4"/>
  <c r="AU79" i="4"/>
  <c r="AT79" i="4"/>
  <c r="AS79" i="4"/>
  <c r="AR79" i="4"/>
  <c r="AQ79" i="4"/>
  <c r="AP79" i="4"/>
  <c r="AO79" i="4"/>
  <c r="AN79" i="4"/>
  <c r="AM79" i="4"/>
  <c r="AL79" i="4"/>
  <c r="AK79" i="4"/>
  <c r="AJ79" i="4"/>
  <c r="AI79" i="4"/>
  <c r="AH79" i="4"/>
  <c r="AG79" i="4"/>
  <c r="AF79" i="4"/>
  <c r="AE79" i="4"/>
  <c r="AD79"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B79" i="4"/>
  <c r="AY78" i="4"/>
  <c r="AX78" i="4"/>
  <c r="AW78" i="4"/>
  <c r="AV78" i="4"/>
  <c r="AU78" i="4"/>
  <c r="AT78" i="4"/>
  <c r="AS78" i="4"/>
  <c r="AR78" i="4"/>
  <c r="AQ78" i="4"/>
  <c r="AP78" i="4"/>
  <c r="AO78" i="4"/>
  <c r="AN78" i="4"/>
  <c r="AM78" i="4"/>
  <c r="AL78" i="4"/>
  <c r="AK78" i="4"/>
  <c r="AJ78" i="4"/>
  <c r="AI78" i="4"/>
  <c r="AH78" i="4"/>
  <c r="AG78" i="4"/>
  <c r="AF78" i="4"/>
  <c r="AE78" i="4"/>
  <c r="AD78"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B78" i="4"/>
  <c r="AY77" i="4"/>
  <c r="AX77" i="4"/>
  <c r="AW77" i="4"/>
  <c r="AV77" i="4"/>
  <c r="AU77" i="4"/>
  <c r="AT77" i="4"/>
  <c r="AS77" i="4"/>
  <c r="AR77" i="4"/>
  <c r="AQ77" i="4"/>
  <c r="AP77" i="4"/>
  <c r="AO77" i="4"/>
  <c r="AN77" i="4"/>
  <c r="AM77" i="4"/>
  <c r="AL77" i="4"/>
  <c r="AK77" i="4"/>
  <c r="AJ77" i="4"/>
  <c r="AI77" i="4"/>
  <c r="AH77" i="4"/>
  <c r="AG77" i="4"/>
  <c r="AF77" i="4"/>
  <c r="AE77" i="4"/>
  <c r="AD77"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B77" i="4"/>
  <c r="AY76" i="4"/>
  <c r="AX76" i="4"/>
  <c r="AW76" i="4"/>
  <c r="AV76" i="4"/>
  <c r="AU76" i="4"/>
  <c r="AT76" i="4"/>
  <c r="AS76" i="4"/>
  <c r="AR76" i="4"/>
  <c r="AQ76" i="4"/>
  <c r="AP76" i="4"/>
  <c r="AO76" i="4"/>
  <c r="AN76" i="4"/>
  <c r="AM76" i="4"/>
  <c r="AL76" i="4"/>
  <c r="AK76" i="4"/>
  <c r="AJ76" i="4"/>
  <c r="AI76" i="4"/>
  <c r="AH76" i="4"/>
  <c r="AG76" i="4"/>
  <c r="AF76" i="4"/>
  <c r="AE76" i="4"/>
  <c r="AD76"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B76" i="4"/>
  <c r="AY75" i="4"/>
  <c r="AX75" i="4"/>
  <c r="AW75" i="4"/>
  <c r="AV75" i="4"/>
  <c r="AU75" i="4"/>
  <c r="AT75" i="4"/>
  <c r="AS75" i="4"/>
  <c r="AR75" i="4"/>
  <c r="AQ75" i="4"/>
  <c r="AP75" i="4"/>
  <c r="AO75" i="4"/>
  <c r="AN75" i="4"/>
  <c r="AM75" i="4"/>
  <c r="AL75" i="4"/>
  <c r="AK75" i="4"/>
  <c r="AJ75" i="4"/>
  <c r="AI75" i="4"/>
  <c r="AH75" i="4"/>
  <c r="AG75" i="4"/>
  <c r="AF75" i="4"/>
  <c r="AE75" i="4"/>
  <c r="AD75"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B75" i="4"/>
  <c r="AY74" i="4"/>
  <c r="AX74" i="4"/>
  <c r="AW74" i="4"/>
  <c r="AV74" i="4"/>
  <c r="AU74" i="4"/>
  <c r="AT74" i="4"/>
  <c r="AS74" i="4"/>
  <c r="AR74" i="4"/>
  <c r="AQ74" i="4"/>
  <c r="AP74" i="4"/>
  <c r="AO74"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B74" i="4"/>
  <c r="AY73" i="4"/>
  <c r="AX73" i="4"/>
  <c r="AW73" i="4"/>
  <c r="AV73" i="4"/>
  <c r="AU73" i="4"/>
  <c r="AT73" i="4"/>
  <c r="AS73" i="4"/>
  <c r="AR73" i="4"/>
  <c r="AQ73" i="4"/>
  <c r="AP73" i="4"/>
  <c r="AO73" i="4"/>
  <c r="AN73" i="4"/>
  <c r="AM73" i="4"/>
  <c r="AL73" i="4"/>
  <c r="AK73" i="4"/>
  <c r="AJ73" i="4"/>
  <c r="AI73" i="4"/>
  <c r="AH73" i="4"/>
  <c r="AG73" i="4"/>
  <c r="AF73" i="4"/>
  <c r="AE73" i="4"/>
  <c r="AD73"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B73" i="4"/>
  <c r="AY72" i="4"/>
  <c r="AX72" i="4"/>
  <c r="AW72" i="4"/>
  <c r="AV72" i="4"/>
  <c r="AU72" i="4"/>
  <c r="AT72" i="4"/>
  <c r="AS72" i="4"/>
  <c r="AR72" i="4"/>
  <c r="AQ72" i="4"/>
  <c r="AP72" i="4"/>
  <c r="AO72" i="4"/>
  <c r="AN72" i="4"/>
  <c r="AM72" i="4"/>
  <c r="AL72" i="4"/>
  <c r="AK72" i="4"/>
  <c r="AJ72" i="4"/>
  <c r="AI72" i="4"/>
  <c r="AH72" i="4"/>
  <c r="AG72" i="4"/>
  <c r="AF72" i="4"/>
  <c r="AE72" i="4"/>
  <c r="AD72"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B72" i="4"/>
  <c r="AY71" i="4"/>
  <c r="AX71" i="4"/>
  <c r="AW71" i="4"/>
  <c r="AV71" i="4"/>
  <c r="AU71" i="4"/>
  <c r="AT71" i="4"/>
  <c r="AS71" i="4"/>
  <c r="AR71" i="4"/>
  <c r="AQ71" i="4"/>
  <c r="AP71" i="4"/>
  <c r="AO71" i="4"/>
  <c r="AN71" i="4"/>
  <c r="AM71" i="4"/>
  <c r="AL71" i="4"/>
  <c r="AK71" i="4"/>
  <c r="AJ71" i="4"/>
  <c r="AI71" i="4"/>
  <c r="AH71" i="4"/>
  <c r="AG71" i="4"/>
  <c r="AF71" i="4"/>
  <c r="AE71" i="4"/>
  <c r="AD71"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B71" i="4"/>
  <c r="AY70" i="4"/>
  <c r="AX70" i="4"/>
  <c r="AW70" i="4"/>
  <c r="AV70" i="4"/>
  <c r="AU70" i="4"/>
  <c r="AT70" i="4"/>
  <c r="AS70" i="4"/>
  <c r="AR70" i="4"/>
  <c r="AQ70" i="4"/>
  <c r="AP70" i="4"/>
  <c r="AO70" i="4"/>
  <c r="AN70" i="4"/>
  <c r="AM70" i="4"/>
  <c r="AL70" i="4"/>
  <c r="AK70" i="4"/>
  <c r="AJ70" i="4"/>
  <c r="AI70" i="4"/>
  <c r="AH70" i="4"/>
  <c r="AG70" i="4"/>
  <c r="AF70" i="4"/>
  <c r="AE70" i="4"/>
  <c r="AD70"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B70" i="4"/>
  <c r="AY69" i="4"/>
  <c r="AX69" i="4"/>
  <c r="AW69" i="4"/>
  <c r="AV69" i="4"/>
  <c r="AU69" i="4"/>
  <c r="AT69" i="4"/>
  <c r="AS69" i="4"/>
  <c r="AR69" i="4"/>
  <c r="AQ69" i="4"/>
  <c r="AP69" i="4"/>
  <c r="AO69" i="4"/>
  <c r="AN69" i="4"/>
  <c r="AM69" i="4"/>
  <c r="AL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B69" i="4"/>
  <c r="AY68" i="4"/>
  <c r="AX68" i="4"/>
  <c r="AW68" i="4"/>
  <c r="AV68" i="4"/>
  <c r="AU68" i="4"/>
  <c r="AT68" i="4"/>
  <c r="AS68" i="4"/>
  <c r="AR68" i="4"/>
  <c r="AQ68" i="4"/>
  <c r="AP68"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B68" i="4"/>
  <c r="AY67" i="4"/>
  <c r="AX67" i="4"/>
  <c r="AW67" i="4"/>
  <c r="AV67" i="4"/>
  <c r="AU67" i="4"/>
  <c r="AT67" i="4"/>
  <c r="AS67" i="4"/>
  <c r="AR67" i="4"/>
  <c r="AQ67" i="4"/>
  <c r="AP67" i="4"/>
  <c r="AO67" i="4"/>
  <c r="AN67" i="4"/>
  <c r="AM67" i="4"/>
  <c r="AL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B67" i="4"/>
  <c r="AY66" i="4"/>
  <c r="AX66" i="4"/>
  <c r="AW66" i="4"/>
  <c r="AV66" i="4"/>
  <c r="AU66" i="4"/>
  <c r="AT66" i="4"/>
  <c r="AS66" i="4"/>
  <c r="AR66" i="4"/>
  <c r="AQ66" i="4"/>
  <c r="AP66" i="4"/>
  <c r="AO66" i="4"/>
  <c r="AN66" i="4"/>
  <c r="AM66" i="4"/>
  <c r="AL66" i="4"/>
  <c r="AK66" i="4"/>
  <c r="AJ66" i="4"/>
  <c r="AI66" i="4"/>
  <c r="AH66" i="4"/>
  <c r="AG66" i="4"/>
  <c r="AF66" i="4"/>
  <c r="AE66" i="4"/>
  <c r="AD66"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B66" i="4"/>
  <c r="G55" i="4"/>
  <c r="E55" i="4"/>
  <c r="D55" i="4"/>
  <c r="G54" i="4"/>
  <c r="E54" i="4"/>
  <c r="D54" i="4"/>
  <c r="G53" i="4"/>
  <c r="E53" i="4"/>
  <c r="D53" i="4"/>
  <c r="G52" i="4"/>
  <c r="E52" i="4"/>
  <c r="D52" i="4"/>
  <c r="G51" i="4"/>
  <c r="E51" i="4"/>
  <c r="D51" i="4"/>
  <c r="G50" i="4"/>
  <c r="E50" i="4"/>
  <c r="D50" i="4"/>
  <c r="G49" i="4"/>
  <c r="E49" i="4"/>
  <c r="D49" i="4"/>
  <c r="G48" i="4"/>
  <c r="E48" i="4"/>
  <c r="D48" i="4"/>
  <c r="G47" i="4"/>
  <c r="E47" i="4"/>
  <c r="D47" i="4"/>
  <c r="G46" i="4"/>
  <c r="E46" i="4"/>
  <c r="D46" i="4"/>
  <c r="G45" i="4"/>
  <c r="E45" i="4"/>
  <c r="D45" i="4"/>
  <c r="G44" i="4"/>
  <c r="E44" i="4"/>
  <c r="D44" i="4"/>
  <c r="G43" i="4"/>
  <c r="E43" i="4"/>
  <c r="D43" i="4"/>
  <c r="G42" i="4"/>
  <c r="E42" i="4"/>
  <c r="D42" i="4"/>
  <c r="G41" i="4"/>
  <c r="E41" i="4"/>
  <c r="D41" i="4"/>
  <c r="G40" i="4"/>
  <c r="E40" i="4"/>
  <c r="D40" i="4"/>
  <c r="G39" i="4"/>
  <c r="E39" i="4"/>
  <c r="D39" i="4"/>
  <c r="G38" i="4"/>
  <c r="E38" i="4"/>
  <c r="D38" i="4"/>
  <c r="G37" i="4"/>
  <c r="E37" i="4"/>
  <c r="D37" i="4"/>
  <c r="G36" i="4"/>
  <c r="E36" i="4"/>
  <c r="D36" i="4"/>
  <c r="G35" i="4"/>
  <c r="E35" i="4"/>
  <c r="D35" i="4"/>
  <c r="G34" i="4"/>
  <c r="E34" i="4"/>
  <c r="D34" i="4"/>
  <c r="G33" i="4"/>
  <c r="E33" i="4"/>
  <c r="D33" i="4"/>
  <c r="G32" i="4"/>
  <c r="E32" i="4"/>
  <c r="D32" i="4"/>
  <c r="G31" i="4"/>
  <c r="E31" i="4"/>
  <c r="D31" i="4"/>
  <c r="G30" i="4"/>
  <c r="E30" i="4"/>
  <c r="D30" i="4"/>
  <c r="G29" i="4"/>
  <c r="E29" i="4"/>
  <c r="D29" i="4"/>
  <c r="G28" i="4"/>
  <c r="E28" i="4"/>
  <c r="D28" i="4"/>
  <c r="G27" i="4"/>
  <c r="E27" i="4"/>
  <c r="D27" i="4"/>
  <c r="G26" i="4"/>
  <c r="E26" i="4"/>
  <c r="D26" i="4"/>
  <c r="G25" i="4"/>
  <c r="E25" i="4"/>
  <c r="D25" i="4"/>
  <c r="G24" i="4"/>
  <c r="E24" i="4"/>
  <c r="D24" i="4"/>
  <c r="G23" i="4"/>
  <c r="E23" i="4"/>
  <c r="D23" i="4"/>
  <c r="G22" i="4"/>
  <c r="E22" i="4"/>
  <c r="D22" i="4"/>
  <c r="G21" i="4"/>
  <c r="E21" i="4"/>
  <c r="D21" i="4"/>
  <c r="G20" i="4"/>
  <c r="E20" i="4"/>
  <c r="D20" i="4"/>
  <c r="G19" i="4"/>
  <c r="E19" i="4"/>
  <c r="D19" i="4"/>
  <c r="G18" i="4"/>
  <c r="E18" i="4"/>
  <c r="D18" i="4"/>
  <c r="G17" i="4"/>
  <c r="E17" i="4"/>
  <c r="D17" i="4"/>
  <c r="G16" i="4"/>
  <c r="E16" i="4"/>
  <c r="D16" i="4"/>
  <c r="G15" i="4"/>
  <c r="E15" i="4"/>
  <c r="D15" i="4"/>
  <c r="G14" i="4"/>
  <c r="E14" i="4"/>
  <c r="D14" i="4"/>
  <c r="G13" i="4"/>
  <c r="E13" i="4"/>
  <c r="D13" i="4"/>
  <c r="G12" i="4"/>
  <c r="E12" i="4"/>
  <c r="D12" i="4"/>
  <c r="G11" i="4"/>
  <c r="E11" i="4"/>
  <c r="D11" i="4"/>
  <c r="G10" i="4"/>
  <c r="E10" i="4"/>
  <c r="D10" i="4"/>
  <c r="G9" i="4"/>
  <c r="E9" i="4"/>
  <c r="D9" i="4"/>
  <c r="G8" i="4"/>
  <c r="E8" i="4"/>
  <c r="D8" i="4"/>
  <c r="G7" i="4"/>
  <c r="E7" i="4"/>
  <c r="D7" i="4"/>
  <c r="G6" i="4"/>
  <c r="E6" i="4"/>
  <c r="D6" i="4"/>
  <c r="Z111" i="2"/>
  <c r="Y111" i="2"/>
  <c r="X111" i="2"/>
  <c r="W111" i="2"/>
  <c r="V111" i="2"/>
  <c r="U111" i="2"/>
  <c r="T111" i="2"/>
  <c r="S111" i="2"/>
  <c r="R111" i="2"/>
  <c r="Q111" i="2"/>
  <c r="P111" i="2"/>
  <c r="O111" i="2"/>
  <c r="N111" i="2"/>
  <c r="M111" i="2"/>
  <c r="L111" i="2"/>
  <c r="K111" i="2"/>
  <c r="J111" i="2"/>
  <c r="I111" i="2"/>
  <c r="H111" i="2"/>
  <c r="G111" i="2"/>
  <c r="F111" i="2"/>
  <c r="E111" i="2"/>
  <c r="D111" i="2"/>
  <c r="C111" i="2"/>
  <c r="B111" i="2"/>
  <c r="Z110" i="2"/>
  <c r="Y110" i="2"/>
  <c r="X110" i="2"/>
  <c r="W110" i="2"/>
  <c r="V110" i="2"/>
  <c r="U110" i="2"/>
  <c r="T110" i="2"/>
  <c r="S110" i="2"/>
  <c r="R110" i="2"/>
  <c r="Q110" i="2"/>
  <c r="P110" i="2"/>
  <c r="O110" i="2"/>
  <c r="N110" i="2"/>
  <c r="M110" i="2"/>
  <c r="L110" i="2"/>
  <c r="K110" i="2"/>
  <c r="J110" i="2"/>
  <c r="I110" i="2"/>
  <c r="H110" i="2"/>
  <c r="G110" i="2"/>
  <c r="F110" i="2"/>
  <c r="E110" i="2"/>
  <c r="D110" i="2"/>
  <c r="C110" i="2"/>
  <c r="B110" i="2"/>
  <c r="Z109" i="2"/>
  <c r="Y109" i="2"/>
  <c r="X109" i="2"/>
  <c r="W109" i="2"/>
  <c r="V109" i="2"/>
  <c r="U109" i="2"/>
  <c r="T109" i="2"/>
  <c r="S109" i="2"/>
  <c r="R109" i="2"/>
  <c r="Q109" i="2"/>
  <c r="P109" i="2"/>
  <c r="O109" i="2"/>
  <c r="N109" i="2"/>
  <c r="M109" i="2"/>
  <c r="L109" i="2"/>
  <c r="K109" i="2"/>
  <c r="J109" i="2"/>
  <c r="I109" i="2"/>
  <c r="H109" i="2"/>
  <c r="G109" i="2"/>
  <c r="F109" i="2"/>
  <c r="E109" i="2"/>
  <c r="D109" i="2"/>
  <c r="C109" i="2"/>
  <c r="B109" i="2"/>
  <c r="Z108" i="2"/>
  <c r="Y108" i="2"/>
  <c r="X108" i="2"/>
  <c r="W108" i="2"/>
  <c r="V108" i="2"/>
  <c r="U108" i="2"/>
  <c r="T108" i="2"/>
  <c r="S108" i="2"/>
  <c r="R108" i="2"/>
  <c r="Q108" i="2"/>
  <c r="P108" i="2"/>
  <c r="O108" i="2"/>
  <c r="N108" i="2"/>
  <c r="M108" i="2"/>
  <c r="L108" i="2"/>
  <c r="K108" i="2"/>
  <c r="J108" i="2"/>
  <c r="I108" i="2"/>
  <c r="H108" i="2"/>
  <c r="G108" i="2"/>
  <c r="F108" i="2"/>
  <c r="E108" i="2"/>
  <c r="D108" i="2"/>
  <c r="C108" i="2"/>
  <c r="B108" i="2"/>
  <c r="Z107" i="2"/>
  <c r="Y107" i="2"/>
  <c r="X107" i="2"/>
  <c r="W107" i="2"/>
  <c r="V107" i="2"/>
  <c r="U107" i="2"/>
  <c r="T107" i="2"/>
  <c r="S107" i="2"/>
  <c r="R107" i="2"/>
  <c r="Q107" i="2"/>
  <c r="P107" i="2"/>
  <c r="O107" i="2"/>
  <c r="N107" i="2"/>
  <c r="M107" i="2"/>
  <c r="L107" i="2"/>
  <c r="K107" i="2"/>
  <c r="J107" i="2"/>
  <c r="I107" i="2"/>
  <c r="H107" i="2"/>
  <c r="G107" i="2"/>
  <c r="F107" i="2"/>
  <c r="E107" i="2"/>
  <c r="D107" i="2"/>
  <c r="C107" i="2"/>
  <c r="B107" i="2"/>
  <c r="Z106" i="2"/>
  <c r="Y106" i="2"/>
  <c r="X106" i="2"/>
  <c r="W106" i="2"/>
  <c r="V106" i="2"/>
  <c r="U106" i="2"/>
  <c r="T106" i="2"/>
  <c r="S106" i="2"/>
  <c r="R106" i="2"/>
  <c r="Q106" i="2"/>
  <c r="P106" i="2"/>
  <c r="O106" i="2"/>
  <c r="N106" i="2"/>
  <c r="M106" i="2"/>
  <c r="L106" i="2"/>
  <c r="K106" i="2"/>
  <c r="J106" i="2"/>
  <c r="I106" i="2"/>
  <c r="H106" i="2"/>
  <c r="G106" i="2"/>
  <c r="F106" i="2"/>
  <c r="E106" i="2"/>
  <c r="D106" i="2"/>
  <c r="C106" i="2"/>
  <c r="B106" i="2"/>
  <c r="Z105" i="2"/>
  <c r="Y105" i="2"/>
  <c r="X105" i="2"/>
  <c r="W105" i="2"/>
  <c r="V105" i="2"/>
  <c r="U105" i="2"/>
  <c r="T105" i="2"/>
  <c r="S105" i="2"/>
  <c r="R105" i="2"/>
  <c r="Q105" i="2"/>
  <c r="P105" i="2"/>
  <c r="O105" i="2"/>
  <c r="N105" i="2"/>
  <c r="M105" i="2"/>
  <c r="L105" i="2"/>
  <c r="K105" i="2"/>
  <c r="J105" i="2"/>
  <c r="I105" i="2"/>
  <c r="H105" i="2"/>
  <c r="G105" i="2"/>
  <c r="F105" i="2"/>
  <c r="E105" i="2"/>
  <c r="D105" i="2"/>
  <c r="C105" i="2"/>
  <c r="B105" i="2"/>
  <c r="Z104" i="2"/>
  <c r="Y104" i="2"/>
  <c r="X104" i="2"/>
  <c r="W104" i="2"/>
  <c r="V104" i="2"/>
  <c r="U104" i="2"/>
  <c r="T104" i="2"/>
  <c r="S104" i="2"/>
  <c r="R104" i="2"/>
  <c r="Q104" i="2"/>
  <c r="P104" i="2"/>
  <c r="O104" i="2"/>
  <c r="N104" i="2"/>
  <c r="M104" i="2"/>
  <c r="L104" i="2"/>
  <c r="K104" i="2"/>
  <c r="J104" i="2"/>
  <c r="I104" i="2"/>
  <c r="H104" i="2"/>
  <c r="G104" i="2"/>
  <c r="F104" i="2"/>
  <c r="E104" i="2"/>
  <c r="D104" i="2"/>
  <c r="C104" i="2"/>
  <c r="B104" i="2"/>
  <c r="Z103" i="2"/>
  <c r="Y103" i="2"/>
  <c r="X103" i="2"/>
  <c r="W103" i="2"/>
  <c r="V103" i="2"/>
  <c r="U103" i="2"/>
  <c r="T103" i="2"/>
  <c r="S103" i="2"/>
  <c r="R103" i="2"/>
  <c r="Q103" i="2"/>
  <c r="P103" i="2"/>
  <c r="O103" i="2"/>
  <c r="N103" i="2"/>
  <c r="M103" i="2"/>
  <c r="L103" i="2"/>
  <c r="K103" i="2"/>
  <c r="J103" i="2"/>
  <c r="I103" i="2"/>
  <c r="H103" i="2"/>
  <c r="G103" i="2"/>
  <c r="F103" i="2"/>
  <c r="E103" i="2"/>
  <c r="D103" i="2"/>
  <c r="C103" i="2"/>
  <c r="B103" i="2"/>
  <c r="Z102" i="2"/>
  <c r="Y102" i="2"/>
  <c r="X102" i="2"/>
  <c r="W102" i="2"/>
  <c r="V102" i="2"/>
  <c r="U102" i="2"/>
  <c r="T102" i="2"/>
  <c r="S102" i="2"/>
  <c r="R102" i="2"/>
  <c r="Q102" i="2"/>
  <c r="P102" i="2"/>
  <c r="O102" i="2"/>
  <c r="N102" i="2"/>
  <c r="M102" i="2"/>
  <c r="L102" i="2"/>
  <c r="K102" i="2"/>
  <c r="J102" i="2"/>
  <c r="I102" i="2"/>
  <c r="H102" i="2"/>
  <c r="G102" i="2"/>
  <c r="F102" i="2"/>
  <c r="E102" i="2"/>
  <c r="D102" i="2"/>
  <c r="C102" i="2"/>
  <c r="B102" i="2"/>
  <c r="Z101" i="2"/>
  <c r="Y101" i="2"/>
  <c r="X101" i="2"/>
  <c r="W101" i="2"/>
  <c r="V101" i="2"/>
  <c r="U101" i="2"/>
  <c r="T101" i="2"/>
  <c r="S101" i="2"/>
  <c r="R101" i="2"/>
  <c r="Q101" i="2"/>
  <c r="P101" i="2"/>
  <c r="O101" i="2"/>
  <c r="N101" i="2"/>
  <c r="M101" i="2"/>
  <c r="L101" i="2"/>
  <c r="K101" i="2"/>
  <c r="J101" i="2"/>
  <c r="I101" i="2"/>
  <c r="H101" i="2"/>
  <c r="G101" i="2"/>
  <c r="F101" i="2"/>
  <c r="E101" i="2"/>
  <c r="D101" i="2"/>
  <c r="C101" i="2"/>
  <c r="B101" i="2"/>
  <c r="Z100" i="2"/>
  <c r="Y100" i="2"/>
  <c r="X100" i="2"/>
  <c r="W100" i="2"/>
  <c r="V100" i="2"/>
  <c r="U100" i="2"/>
  <c r="T100" i="2"/>
  <c r="S100" i="2"/>
  <c r="R100" i="2"/>
  <c r="Q100" i="2"/>
  <c r="P100" i="2"/>
  <c r="O100" i="2"/>
  <c r="N100" i="2"/>
  <c r="M100" i="2"/>
  <c r="L100" i="2"/>
  <c r="K100" i="2"/>
  <c r="J100" i="2"/>
  <c r="I100" i="2"/>
  <c r="H100" i="2"/>
  <c r="G100" i="2"/>
  <c r="F100" i="2"/>
  <c r="E100" i="2"/>
  <c r="D100" i="2"/>
  <c r="C100" i="2"/>
  <c r="B100" i="2"/>
  <c r="Z99" i="2"/>
  <c r="Y99" i="2"/>
  <c r="X99" i="2"/>
  <c r="W99" i="2"/>
  <c r="V99" i="2"/>
  <c r="U99" i="2"/>
  <c r="T99" i="2"/>
  <c r="S99" i="2"/>
  <c r="R99" i="2"/>
  <c r="Q99" i="2"/>
  <c r="P99" i="2"/>
  <c r="O99" i="2"/>
  <c r="N99" i="2"/>
  <c r="M99" i="2"/>
  <c r="L99" i="2"/>
  <c r="K99" i="2"/>
  <c r="J99" i="2"/>
  <c r="I99" i="2"/>
  <c r="H99" i="2"/>
  <c r="G99" i="2"/>
  <c r="F99" i="2"/>
  <c r="E99" i="2"/>
  <c r="D99" i="2"/>
  <c r="C99" i="2"/>
  <c r="B99" i="2"/>
  <c r="Z98" i="2"/>
  <c r="Y98" i="2"/>
  <c r="X98" i="2"/>
  <c r="W98" i="2"/>
  <c r="V98" i="2"/>
  <c r="U98" i="2"/>
  <c r="T98" i="2"/>
  <c r="S98" i="2"/>
  <c r="R98" i="2"/>
  <c r="Q98" i="2"/>
  <c r="P98" i="2"/>
  <c r="O98" i="2"/>
  <c r="N98" i="2"/>
  <c r="M98" i="2"/>
  <c r="L98" i="2"/>
  <c r="K98" i="2"/>
  <c r="J98" i="2"/>
  <c r="I98" i="2"/>
  <c r="H98" i="2"/>
  <c r="G98" i="2"/>
  <c r="F98" i="2"/>
  <c r="E98" i="2"/>
  <c r="D98" i="2"/>
  <c r="C98" i="2"/>
  <c r="B98" i="2"/>
  <c r="Z97" i="2"/>
  <c r="Y97" i="2"/>
  <c r="X97" i="2"/>
  <c r="W97" i="2"/>
  <c r="V97" i="2"/>
  <c r="U97" i="2"/>
  <c r="T97" i="2"/>
  <c r="S97" i="2"/>
  <c r="R97" i="2"/>
  <c r="Q97" i="2"/>
  <c r="P97" i="2"/>
  <c r="O97" i="2"/>
  <c r="N97" i="2"/>
  <c r="M97" i="2"/>
  <c r="L97" i="2"/>
  <c r="K97" i="2"/>
  <c r="J97" i="2"/>
  <c r="I97" i="2"/>
  <c r="H97" i="2"/>
  <c r="G97" i="2"/>
  <c r="F97" i="2"/>
  <c r="E97" i="2"/>
  <c r="D97" i="2"/>
  <c r="C97" i="2"/>
  <c r="B97" i="2"/>
  <c r="Z96" i="2"/>
  <c r="Y96" i="2"/>
  <c r="X96" i="2"/>
  <c r="W96" i="2"/>
  <c r="V96" i="2"/>
  <c r="U96" i="2"/>
  <c r="T96" i="2"/>
  <c r="S96" i="2"/>
  <c r="R96" i="2"/>
  <c r="Q96" i="2"/>
  <c r="P96" i="2"/>
  <c r="O96" i="2"/>
  <c r="N96" i="2"/>
  <c r="M96" i="2"/>
  <c r="L96" i="2"/>
  <c r="K96" i="2"/>
  <c r="J96" i="2"/>
  <c r="I96" i="2"/>
  <c r="H96" i="2"/>
  <c r="G96" i="2"/>
  <c r="F96" i="2"/>
  <c r="E96" i="2"/>
  <c r="D96" i="2"/>
  <c r="C96" i="2"/>
  <c r="B96" i="2"/>
  <c r="Z95" i="2"/>
  <c r="Y95" i="2"/>
  <c r="X95" i="2"/>
  <c r="W95" i="2"/>
  <c r="V95" i="2"/>
  <c r="U95" i="2"/>
  <c r="T95" i="2"/>
  <c r="S95" i="2"/>
  <c r="R95" i="2"/>
  <c r="Q95" i="2"/>
  <c r="P95" i="2"/>
  <c r="O95" i="2"/>
  <c r="N95" i="2"/>
  <c r="M95" i="2"/>
  <c r="L95" i="2"/>
  <c r="K95" i="2"/>
  <c r="J95" i="2"/>
  <c r="I95" i="2"/>
  <c r="H95" i="2"/>
  <c r="G95" i="2"/>
  <c r="F95" i="2"/>
  <c r="E95" i="2"/>
  <c r="D95" i="2"/>
  <c r="C95" i="2"/>
  <c r="B95" i="2"/>
  <c r="Z94" i="2"/>
  <c r="Y94" i="2"/>
  <c r="X94" i="2"/>
  <c r="W94" i="2"/>
  <c r="V94" i="2"/>
  <c r="U94" i="2"/>
  <c r="T94" i="2"/>
  <c r="S94" i="2"/>
  <c r="R94" i="2"/>
  <c r="Q94" i="2"/>
  <c r="P94" i="2"/>
  <c r="O94" i="2"/>
  <c r="N94" i="2"/>
  <c r="M94" i="2"/>
  <c r="L94" i="2"/>
  <c r="K94" i="2"/>
  <c r="J94" i="2"/>
  <c r="I94" i="2"/>
  <c r="H94" i="2"/>
  <c r="G94" i="2"/>
  <c r="F94" i="2"/>
  <c r="E94" i="2"/>
  <c r="D94" i="2"/>
  <c r="C94" i="2"/>
  <c r="B94" i="2"/>
  <c r="Z93" i="2"/>
  <c r="Y93" i="2"/>
  <c r="X93" i="2"/>
  <c r="W93" i="2"/>
  <c r="V93" i="2"/>
  <c r="U93" i="2"/>
  <c r="T93" i="2"/>
  <c r="S93" i="2"/>
  <c r="R93" i="2"/>
  <c r="Q93" i="2"/>
  <c r="P93" i="2"/>
  <c r="O93" i="2"/>
  <c r="N93" i="2"/>
  <c r="M93" i="2"/>
  <c r="L93" i="2"/>
  <c r="K93" i="2"/>
  <c r="J93" i="2"/>
  <c r="I93" i="2"/>
  <c r="H93" i="2"/>
  <c r="G93" i="2"/>
  <c r="F93" i="2"/>
  <c r="E93" i="2"/>
  <c r="D93" i="2"/>
  <c r="C93" i="2"/>
  <c r="B93" i="2"/>
  <c r="Z92" i="2"/>
  <c r="Y92" i="2"/>
  <c r="X92" i="2"/>
  <c r="W92" i="2"/>
  <c r="V92" i="2"/>
  <c r="U92" i="2"/>
  <c r="T92" i="2"/>
  <c r="S92" i="2"/>
  <c r="R92" i="2"/>
  <c r="Q92" i="2"/>
  <c r="P92" i="2"/>
  <c r="O92" i="2"/>
  <c r="N92" i="2"/>
  <c r="M92" i="2"/>
  <c r="L92" i="2"/>
  <c r="K92" i="2"/>
  <c r="J92" i="2"/>
  <c r="I92" i="2"/>
  <c r="H92" i="2"/>
  <c r="G92" i="2"/>
  <c r="F92" i="2"/>
  <c r="E92" i="2"/>
  <c r="D92" i="2"/>
  <c r="C92" i="2"/>
  <c r="B92" i="2"/>
  <c r="Z91" i="2"/>
  <c r="Y91" i="2"/>
  <c r="X91" i="2"/>
  <c r="W91" i="2"/>
  <c r="V91" i="2"/>
  <c r="U91" i="2"/>
  <c r="T91" i="2"/>
  <c r="S91" i="2"/>
  <c r="R91" i="2"/>
  <c r="Q91" i="2"/>
  <c r="P91" i="2"/>
  <c r="O91" i="2"/>
  <c r="N91" i="2"/>
  <c r="M91" i="2"/>
  <c r="L91" i="2"/>
  <c r="K91" i="2"/>
  <c r="J91" i="2"/>
  <c r="I91" i="2"/>
  <c r="H91" i="2"/>
  <c r="G91" i="2"/>
  <c r="F91" i="2"/>
  <c r="E91" i="2"/>
  <c r="D91" i="2"/>
  <c r="C91" i="2"/>
  <c r="B91" i="2"/>
  <c r="Z90" i="2"/>
  <c r="Y90" i="2"/>
  <c r="X90" i="2"/>
  <c r="W90" i="2"/>
  <c r="V90" i="2"/>
  <c r="U90" i="2"/>
  <c r="T90" i="2"/>
  <c r="S90" i="2"/>
  <c r="R90" i="2"/>
  <c r="Q90" i="2"/>
  <c r="P90" i="2"/>
  <c r="O90" i="2"/>
  <c r="N90" i="2"/>
  <c r="M90" i="2"/>
  <c r="L90" i="2"/>
  <c r="K90" i="2"/>
  <c r="J90" i="2"/>
  <c r="I90" i="2"/>
  <c r="H90" i="2"/>
  <c r="G90" i="2"/>
  <c r="F90" i="2"/>
  <c r="E90" i="2"/>
  <c r="D90" i="2"/>
  <c r="C90" i="2"/>
  <c r="B90" i="2"/>
  <c r="Z89" i="2"/>
  <c r="Y89" i="2"/>
  <c r="X89" i="2"/>
  <c r="W89" i="2"/>
  <c r="V89" i="2"/>
  <c r="U89" i="2"/>
  <c r="T89" i="2"/>
  <c r="S89" i="2"/>
  <c r="R89" i="2"/>
  <c r="Q89" i="2"/>
  <c r="P89" i="2"/>
  <c r="O89" i="2"/>
  <c r="N89" i="2"/>
  <c r="M89" i="2"/>
  <c r="L89" i="2"/>
  <c r="K89" i="2"/>
  <c r="J89" i="2"/>
  <c r="I89" i="2"/>
  <c r="H89" i="2"/>
  <c r="G89" i="2"/>
  <c r="F89" i="2"/>
  <c r="E89" i="2"/>
  <c r="D89" i="2"/>
  <c r="C89" i="2"/>
  <c r="B89" i="2"/>
  <c r="Z88" i="2"/>
  <c r="Y88" i="2"/>
  <c r="X88" i="2"/>
  <c r="W88" i="2"/>
  <c r="V88" i="2"/>
  <c r="U88" i="2"/>
  <c r="T88" i="2"/>
  <c r="S88" i="2"/>
  <c r="R88" i="2"/>
  <c r="Q88" i="2"/>
  <c r="P88" i="2"/>
  <c r="O88" i="2"/>
  <c r="N88" i="2"/>
  <c r="M88" i="2"/>
  <c r="L88" i="2"/>
  <c r="K88" i="2"/>
  <c r="J88" i="2"/>
  <c r="I88" i="2"/>
  <c r="H88" i="2"/>
  <c r="G88" i="2"/>
  <c r="F88" i="2"/>
  <c r="E88" i="2"/>
  <c r="D88" i="2"/>
  <c r="C88" i="2"/>
  <c r="B88" i="2"/>
  <c r="Z87" i="2"/>
  <c r="Y87" i="2"/>
  <c r="X87" i="2"/>
  <c r="W87" i="2"/>
  <c r="V87" i="2"/>
  <c r="U87" i="2"/>
  <c r="T87" i="2"/>
  <c r="S87" i="2"/>
  <c r="R87" i="2"/>
  <c r="Q87" i="2"/>
  <c r="P87" i="2"/>
  <c r="O87" i="2"/>
  <c r="N87" i="2"/>
  <c r="M87" i="2"/>
  <c r="L87" i="2"/>
  <c r="K87" i="2"/>
  <c r="J87" i="2"/>
  <c r="I87" i="2"/>
  <c r="H87" i="2"/>
  <c r="G87" i="2"/>
  <c r="F87" i="2"/>
  <c r="E87" i="2"/>
  <c r="D87" i="2"/>
  <c r="C87" i="2"/>
  <c r="B87" i="2"/>
  <c r="Z86" i="2"/>
  <c r="Y86" i="2"/>
  <c r="X86" i="2"/>
  <c r="W86" i="2"/>
  <c r="V86" i="2"/>
  <c r="U86" i="2"/>
  <c r="T86" i="2"/>
  <c r="S86" i="2"/>
  <c r="R86" i="2"/>
  <c r="Q86" i="2"/>
  <c r="P86" i="2"/>
  <c r="O86" i="2"/>
  <c r="N86" i="2"/>
  <c r="M86" i="2"/>
  <c r="L86" i="2"/>
  <c r="K86" i="2"/>
  <c r="J86" i="2"/>
  <c r="I86" i="2"/>
  <c r="H86" i="2"/>
  <c r="G86" i="2"/>
  <c r="F86" i="2"/>
  <c r="E86" i="2"/>
  <c r="D86" i="2"/>
  <c r="C86" i="2"/>
  <c r="B86" i="2"/>
  <c r="Z85" i="2"/>
  <c r="Y85" i="2"/>
  <c r="X85" i="2"/>
  <c r="W85" i="2"/>
  <c r="V85" i="2"/>
  <c r="U85" i="2"/>
  <c r="T85" i="2"/>
  <c r="S85" i="2"/>
  <c r="R85" i="2"/>
  <c r="Q85" i="2"/>
  <c r="P85" i="2"/>
  <c r="O85" i="2"/>
  <c r="N85" i="2"/>
  <c r="M85" i="2"/>
  <c r="L85" i="2"/>
  <c r="K85" i="2"/>
  <c r="J85" i="2"/>
  <c r="I85" i="2"/>
  <c r="H85" i="2"/>
  <c r="G85" i="2"/>
  <c r="F85" i="2"/>
  <c r="E85" i="2"/>
  <c r="D85" i="2"/>
  <c r="C85" i="2"/>
  <c r="B85" i="2"/>
  <c r="Z84" i="2"/>
  <c r="Y84" i="2"/>
  <c r="X84" i="2"/>
  <c r="W84" i="2"/>
  <c r="V84" i="2"/>
  <c r="U84" i="2"/>
  <c r="T84" i="2"/>
  <c r="S84" i="2"/>
  <c r="R84" i="2"/>
  <c r="Q84" i="2"/>
  <c r="P84" i="2"/>
  <c r="O84" i="2"/>
  <c r="N84" i="2"/>
  <c r="M84" i="2"/>
  <c r="L84" i="2"/>
  <c r="K84" i="2"/>
  <c r="J84" i="2"/>
  <c r="I84" i="2"/>
  <c r="H84" i="2"/>
  <c r="G84" i="2"/>
  <c r="F84" i="2"/>
  <c r="E84" i="2"/>
  <c r="D84" i="2"/>
  <c r="C84" i="2"/>
  <c r="B84" i="2"/>
  <c r="Z83" i="2"/>
  <c r="Y83" i="2"/>
  <c r="X83" i="2"/>
  <c r="W83" i="2"/>
  <c r="V83" i="2"/>
  <c r="U83" i="2"/>
  <c r="T83" i="2"/>
  <c r="S83" i="2"/>
  <c r="R83" i="2"/>
  <c r="Q83" i="2"/>
  <c r="P83" i="2"/>
  <c r="O83" i="2"/>
  <c r="N83" i="2"/>
  <c r="M83" i="2"/>
  <c r="L83" i="2"/>
  <c r="K83" i="2"/>
  <c r="J83" i="2"/>
  <c r="I83" i="2"/>
  <c r="H83" i="2"/>
  <c r="G83" i="2"/>
  <c r="F83" i="2"/>
  <c r="E83" i="2"/>
  <c r="D83" i="2"/>
  <c r="C83" i="2"/>
  <c r="B83" i="2"/>
  <c r="Z82" i="2"/>
  <c r="Y82" i="2"/>
  <c r="X82" i="2"/>
  <c r="W82" i="2"/>
  <c r="V82" i="2"/>
  <c r="U82" i="2"/>
  <c r="T82" i="2"/>
  <c r="S82" i="2"/>
  <c r="R82" i="2"/>
  <c r="Q82" i="2"/>
  <c r="P82" i="2"/>
  <c r="O82" i="2"/>
  <c r="N82" i="2"/>
  <c r="M82" i="2"/>
  <c r="L82" i="2"/>
  <c r="K82" i="2"/>
  <c r="J82" i="2"/>
  <c r="I82" i="2"/>
  <c r="H82" i="2"/>
  <c r="G82" i="2"/>
  <c r="F82" i="2"/>
  <c r="E82" i="2"/>
  <c r="D82" i="2"/>
  <c r="C82" i="2"/>
  <c r="B82" i="2"/>
  <c r="Z81" i="2"/>
  <c r="Y81" i="2"/>
  <c r="X81" i="2"/>
  <c r="W81" i="2"/>
  <c r="V81" i="2"/>
  <c r="U81" i="2"/>
  <c r="T81" i="2"/>
  <c r="S81" i="2"/>
  <c r="R81" i="2"/>
  <c r="Q81" i="2"/>
  <c r="P81" i="2"/>
  <c r="O81" i="2"/>
  <c r="N81" i="2"/>
  <c r="M81" i="2"/>
  <c r="L81" i="2"/>
  <c r="K81" i="2"/>
  <c r="J81" i="2"/>
  <c r="I81" i="2"/>
  <c r="H81" i="2"/>
  <c r="G81" i="2"/>
  <c r="F81" i="2"/>
  <c r="E81" i="2"/>
  <c r="D81" i="2"/>
  <c r="C81" i="2"/>
  <c r="B81" i="2"/>
  <c r="Z80" i="2"/>
  <c r="Y80" i="2"/>
  <c r="X80" i="2"/>
  <c r="W80" i="2"/>
  <c r="V80" i="2"/>
  <c r="U80" i="2"/>
  <c r="T80" i="2"/>
  <c r="S80" i="2"/>
  <c r="R80" i="2"/>
  <c r="Q80" i="2"/>
  <c r="P80" i="2"/>
  <c r="O80" i="2"/>
  <c r="N80" i="2"/>
  <c r="M80" i="2"/>
  <c r="L80" i="2"/>
  <c r="K80" i="2"/>
  <c r="J80" i="2"/>
  <c r="I80" i="2"/>
  <c r="H80" i="2"/>
  <c r="G80" i="2"/>
  <c r="F80" i="2"/>
  <c r="E80" i="2"/>
  <c r="D80" i="2"/>
  <c r="C80" i="2"/>
  <c r="B80" i="2"/>
  <c r="Z79" i="2"/>
  <c r="Y79" i="2"/>
  <c r="X79" i="2"/>
  <c r="W79" i="2"/>
  <c r="V79" i="2"/>
  <c r="U79" i="2"/>
  <c r="T79" i="2"/>
  <c r="S79" i="2"/>
  <c r="R79" i="2"/>
  <c r="Q79" i="2"/>
  <c r="P79" i="2"/>
  <c r="O79" i="2"/>
  <c r="N79" i="2"/>
  <c r="M79" i="2"/>
  <c r="L79" i="2"/>
  <c r="K79" i="2"/>
  <c r="J79" i="2"/>
  <c r="I79" i="2"/>
  <c r="H79" i="2"/>
  <c r="G79" i="2"/>
  <c r="F79" i="2"/>
  <c r="E79" i="2"/>
  <c r="D79" i="2"/>
  <c r="C79" i="2"/>
  <c r="B79" i="2"/>
  <c r="Z78" i="2"/>
  <c r="Y78" i="2"/>
  <c r="X78" i="2"/>
  <c r="W78" i="2"/>
  <c r="V78" i="2"/>
  <c r="U78" i="2"/>
  <c r="T78" i="2"/>
  <c r="S78" i="2"/>
  <c r="R78" i="2"/>
  <c r="Q78" i="2"/>
  <c r="P78" i="2"/>
  <c r="O78" i="2"/>
  <c r="N78" i="2"/>
  <c r="M78" i="2"/>
  <c r="L78" i="2"/>
  <c r="K78" i="2"/>
  <c r="J78" i="2"/>
  <c r="I78" i="2"/>
  <c r="H78" i="2"/>
  <c r="G78" i="2"/>
  <c r="F78" i="2"/>
  <c r="E78" i="2"/>
  <c r="D78" i="2"/>
  <c r="C78" i="2"/>
  <c r="B78" i="2"/>
  <c r="Z77" i="2"/>
  <c r="Y77" i="2"/>
  <c r="X77" i="2"/>
  <c r="W77" i="2"/>
  <c r="V77" i="2"/>
  <c r="U77" i="2"/>
  <c r="T77" i="2"/>
  <c r="S77" i="2"/>
  <c r="R77" i="2"/>
  <c r="Q77" i="2"/>
  <c r="P77" i="2"/>
  <c r="O77" i="2"/>
  <c r="N77" i="2"/>
  <c r="M77" i="2"/>
  <c r="L77" i="2"/>
  <c r="K77" i="2"/>
  <c r="J77" i="2"/>
  <c r="I77" i="2"/>
  <c r="H77" i="2"/>
  <c r="G77" i="2"/>
  <c r="F77" i="2"/>
  <c r="E77" i="2"/>
  <c r="D77" i="2"/>
  <c r="C77" i="2"/>
  <c r="B77" i="2"/>
  <c r="Z76" i="2"/>
  <c r="Y76" i="2"/>
  <c r="X76" i="2"/>
  <c r="W76" i="2"/>
  <c r="V76" i="2"/>
  <c r="U76" i="2"/>
  <c r="T76" i="2"/>
  <c r="S76" i="2"/>
  <c r="R76" i="2"/>
  <c r="Q76" i="2"/>
  <c r="P76" i="2"/>
  <c r="O76" i="2"/>
  <c r="N76" i="2"/>
  <c r="M76" i="2"/>
  <c r="L76" i="2"/>
  <c r="K76" i="2"/>
  <c r="J76" i="2"/>
  <c r="I76" i="2"/>
  <c r="H76" i="2"/>
  <c r="G76" i="2"/>
  <c r="F76" i="2"/>
  <c r="E76" i="2"/>
  <c r="D76" i="2"/>
  <c r="C76" i="2"/>
  <c r="B76" i="2"/>
  <c r="Z75" i="2"/>
  <c r="Y75" i="2"/>
  <c r="X75" i="2"/>
  <c r="W75" i="2"/>
  <c r="V75" i="2"/>
  <c r="U75" i="2"/>
  <c r="T75" i="2"/>
  <c r="S75" i="2"/>
  <c r="R75" i="2"/>
  <c r="Q75" i="2"/>
  <c r="P75" i="2"/>
  <c r="O75" i="2"/>
  <c r="N75" i="2"/>
  <c r="M75" i="2"/>
  <c r="L75" i="2"/>
  <c r="K75" i="2"/>
  <c r="J75" i="2"/>
  <c r="I75" i="2"/>
  <c r="H75" i="2"/>
  <c r="G75" i="2"/>
  <c r="F75" i="2"/>
  <c r="E75" i="2"/>
  <c r="D75" i="2"/>
  <c r="C75" i="2"/>
  <c r="B75" i="2"/>
  <c r="Z74" i="2"/>
  <c r="Y74" i="2"/>
  <c r="X74" i="2"/>
  <c r="W74" i="2"/>
  <c r="V74" i="2"/>
  <c r="U74" i="2"/>
  <c r="T74" i="2"/>
  <c r="S74" i="2"/>
  <c r="R74" i="2"/>
  <c r="Q74" i="2"/>
  <c r="P74" i="2"/>
  <c r="O74" i="2"/>
  <c r="N74" i="2"/>
  <c r="M74" i="2"/>
  <c r="L74" i="2"/>
  <c r="K74" i="2"/>
  <c r="J74" i="2"/>
  <c r="I74" i="2"/>
  <c r="H74" i="2"/>
  <c r="G74" i="2"/>
  <c r="F74" i="2"/>
  <c r="E74" i="2"/>
  <c r="D74" i="2"/>
  <c r="C74" i="2"/>
  <c r="B74" i="2"/>
  <c r="Z73" i="2"/>
  <c r="Y73" i="2"/>
  <c r="X73" i="2"/>
  <c r="W73" i="2"/>
  <c r="V73" i="2"/>
  <c r="U73" i="2"/>
  <c r="T73" i="2"/>
  <c r="S73" i="2"/>
  <c r="R73" i="2"/>
  <c r="Q73" i="2"/>
  <c r="P73" i="2"/>
  <c r="O73" i="2"/>
  <c r="N73" i="2"/>
  <c r="M73" i="2"/>
  <c r="L73" i="2"/>
  <c r="K73" i="2"/>
  <c r="J73" i="2"/>
  <c r="I73" i="2"/>
  <c r="H73" i="2"/>
  <c r="G73" i="2"/>
  <c r="F73" i="2"/>
  <c r="E73" i="2"/>
  <c r="D73" i="2"/>
  <c r="C73" i="2"/>
  <c r="B73" i="2"/>
  <c r="Z72" i="2"/>
  <c r="Y72" i="2"/>
  <c r="X72" i="2"/>
  <c r="W72" i="2"/>
  <c r="V72" i="2"/>
  <c r="U72" i="2"/>
  <c r="T72" i="2"/>
  <c r="S72" i="2"/>
  <c r="R72" i="2"/>
  <c r="Q72" i="2"/>
  <c r="P72" i="2"/>
  <c r="O72" i="2"/>
  <c r="N72" i="2"/>
  <c r="M72" i="2"/>
  <c r="L72" i="2"/>
  <c r="K72" i="2"/>
  <c r="J72" i="2"/>
  <c r="I72" i="2"/>
  <c r="H72" i="2"/>
  <c r="G72" i="2"/>
  <c r="F72" i="2"/>
  <c r="E72" i="2"/>
  <c r="D72" i="2"/>
  <c r="C72" i="2"/>
  <c r="B72" i="2"/>
  <c r="Z71" i="2"/>
  <c r="Y71" i="2"/>
  <c r="X71" i="2"/>
  <c r="W71" i="2"/>
  <c r="V71" i="2"/>
  <c r="U71" i="2"/>
  <c r="T71" i="2"/>
  <c r="S71" i="2"/>
  <c r="R71" i="2"/>
  <c r="Q71" i="2"/>
  <c r="P71" i="2"/>
  <c r="O71" i="2"/>
  <c r="N71" i="2"/>
  <c r="M71" i="2"/>
  <c r="L71" i="2"/>
  <c r="K71" i="2"/>
  <c r="J71" i="2"/>
  <c r="I71" i="2"/>
  <c r="H71" i="2"/>
  <c r="G71" i="2"/>
  <c r="F71" i="2"/>
  <c r="E71" i="2"/>
  <c r="D71" i="2"/>
  <c r="C71" i="2"/>
  <c r="B71" i="2"/>
  <c r="Z70" i="2"/>
  <c r="Y70" i="2"/>
  <c r="X70" i="2"/>
  <c r="W70" i="2"/>
  <c r="V70" i="2"/>
  <c r="U70" i="2"/>
  <c r="T70" i="2"/>
  <c r="S70" i="2"/>
  <c r="R70" i="2"/>
  <c r="Q70" i="2"/>
  <c r="P70" i="2"/>
  <c r="O70" i="2"/>
  <c r="N70" i="2"/>
  <c r="M70" i="2"/>
  <c r="L70" i="2"/>
  <c r="K70" i="2"/>
  <c r="J70" i="2"/>
  <c r="I70" i="2"/>
  <c r="H70" i="2"/>
  <c r="G70" i="2"/>
  <c r="F70" i="2"/>
  <c r="E70" i="2"/>
  <c r="D70" i="2"/>
  <c r="C70" i="2"/>
  <c r="B70" i="2"/>
  <c r="Z69" i="2"/>
  <c r="Y69" i="2"/>
  <c r="X69" i="2"/>
  <c r="W69" i="2"/>
  <c r="V69" i="2"/>
  <c r="U69" i="2"/>
  <c r="T69" i="2"/>
  <c r="S69" i="2"/>
  <c r="R69" i="2"/>
  <c r="Q69" i="2"/>
  <c r="P69" i="2"/>
  <c r="O69" i="2"/>
  <c r="N69" i="2"/>
  <c r="M69" i="2"/>
  <c r="L69" i="2"/>
  <c r="K69" i="2"/>
  <c r="J69" i="2"/>
  <c r="I69" i="2"/>
  <c r="H69" i="2"/>
  <c r="G69" i="2"/>
  <c r="F69" i="2"/>
  <c r="E69" i="2"/>
  <c r="D69" i="2"/>
  <c r="C69" i="2"/>
  <c r="B69" i="2"/>
  <c r="Z68" i="2"/>
  <c r="Y68" i="2"/>
  <c r="X68" i="2"/>
  <c r="W68" i="2"/>
  <c r="V68" i="2"/>
  <c r="U68" i="2"/>
  <c r="T68" i="2"/>
  <c r="S68" i="2"/>
  <c r="R68" i="2"/>
  <c r="Q68" i="2"/>
  <c r="P68" i="2"/>
  <c r="O68" i="2"/>
  <c r="N68" i="2"/>
  <c r="M68" i="2"/>
  <c r="L68" i="2"/>
  <c r="K68" i="2"/>
  <c r="J68" i="2"/>
  <c r="I68" i="2"/>
  <c r="H68" i="2"/>
  <c r="G68" i="2"/>
  <c r="F68" i="2"/>
  <c r="E68" i="2"/>
  <c r="D68" i="2"/>
  <c r="C68" i="2"/>
  <c r="B68" i="2"/>
  <c r="Z67" i="2"/>
  <c r="Y67" i="2"/>
  <c r="X67" i="2"/>
  <c r="W67" i="2"/>
  <c r="V67" i="2"/>
  <c r="U67" i="2"/>
  <c r="T67" i="2"/>
  <c r="S67" i="2"/>
  <c r="R67" i="2"/>
  <c r="Q67" i="2"/>
  <c r="P67" i="2"/>
  <c r="O67" i="2"/>
  <c r="N67" i="2"/>
  <c r="M67" i="2"/>
  <c r="L67" i="2"/>
  <c r="K67" i="2"/>
  <c r="J67" i="2"/>
  <c r="I67" i="2"/>
  <c r="H67" i="2"/>
  <c r="G67" i="2"/>
  <c r="F67" i="2"/>
  <c r="E67" i="2"/>
  <c r="D67" i="2"/>
  <c r="C67" i="2"/>
  <c r="B67" i="2"/>
  <c r="Z66" i="2"/>
  <c r="Y66" i="2"/>
  <c r="X66" i="2"/>
  <c r="W66" i="2"/>
  <c r="V66" i="2"/>
  <c r="U66" i="2"/>
  <c r="T66" i="2"/>
  <c r="S66" i="2"/>
  <c r="R66" i="2"/>
  <c r="Q66" i="2"/>
  <c r="P66" i="2"/>
  <c r="O66" i="2"/>
  <c r="N66" i="2"/>
  <c r="M66" i="2"/>
  <c r="L66" i="2"/>
  <c r="K66" i="2"/>
  <c r="J66" i="2"/>
  <c r="I66" i="2"/>
  <c r="H66" i="2"/>
  <c r="G66" i="2"/>
  <c r="F66" i="2"/>
  <c r="E66" i="2"/>
  <c r="D66" i="2"/>
  <c r="C66" i="2"/>
  <c r="B66" i="2"/>
  <c r="Z65" i="2"/>
  <c r="Y65" i="2"/>
  <c r="X65" i="2"/>
  <c r="W65" i="2"/>
  <c r="V65" i="2"/>
  <c r="U65" i="2"/>
  <c r="T65" i="2"/>
  <c r="S65" i="2"/>
  <c r="R65" i="2"/>
  <c r="Q65" i="2"/>
  <c r="P65" i="2"/>
  <c r="O65" i="2"/>
  <c r="N65" i="2"/>
  <c r="M65" i="2"/>
  <c r="L65" i="2"/>
  <c r="K65" i="2"/>
  <c r="J65" i="2"/>
  <c r="I65" i="2"/>
  <c r="H65" i="2"/>
  <c r="G65" i="2"/>
  <c r="F65" i="2"/>
  <c r="E65" i="2"/>
  <c r="D65" i="2"/>
  <c r="C65" i="2"/>
  <c r="B65" i="2"/>
  <c r="Z64" i="2"/>
  <c r="Y64" i="2"/>
  <c r="X64" i="2"/>
  <c r="W64" i="2"/>
  <c r="V64" i="2"/>
  <c r="U64" i="2"/>
  <c r="T64" i="2"/>
  <c r="S64" i="2"/>
  <c r="R64" i="2"/>
  <c r="Q64" i="2"/>
  <c r="P64" i="2"/>
  <c r="O64" i="2"/>
  <c r="N64" i="2"/>
  <c r="M64" i="2"/>
  <c r="L64" i="2"/>
  <c r="K64" i="2"/>
  <c r="J64" i="2"/>
  <c r="I64" i="2"/>
  <c r="H64" i="2"/>
  <c r="G64" i="2"/>
  <c r="F64" i="2"/>
  <c r="E64" i="2"/>
  <c r="D64" i="2"/>
  <c r="C64" i="2"/>
  <c r="B64" i="2"/>
  <c r="Z63" i="2"/>
  <c r="Y63" i="2"/>
  <c r="X63" i="2"/>
  <c r="W63" i="2"/>
  <c r="V63" i="2"/>
  <c r="U63" i="2"/>
  <c r="T63" i="2"/>
  <c r="S63" i="2"/>
  <c r="R63" i="2"/>
  <c r="Q63" i="2"/>
  <c r="P63" i="2"/>
  <c r="O63" i="2"/>
  <c r="N63" i="2"/>
  <c r="M63" i="2"/>
  <c r="L63" i="2"/>
  <c r="K63" i="2"/>
  <c r="J63" i="2"/>
  <c r="I63" i="2"/>
  <c r="H63" i="2"/>
  <c r="G63" i="2"/>
  <c r="F63" i="2"/>
  <c r="E63" i="2"/>
  <c r="D63" i="2"/>
  <c r="C63" i="2"/>
  <c r="B63" i="2"/>
  <c r="Z62" i="2"/>
  <c r="Y62" i="2"/>
  <c r="X62" i="2"/>
  <c r="W62" i="2"/>
  <c r="V62" i="2"/>
  <c r="U62" i="2"/>
  <c r="T62" i="2"/>
  <c r="S62" i="2"/>
  <c r="R62" i="2"/>
  <c r="Q62" i="2"/>
  <c r="P62" i="2"/>
  <c r="O62" i="2"/>
  <c r="N62" i="2"/>
  <c r="M62" i="2"/>
  <c r="L62" i="2"/>
  <c r="K62" i="2"/>
  <c r="J62" i="2"/>
  <c r="I62" i="2"/>
  <c r="H62" i="2"/>
  <c r="G62" i="2"/>
  <c r="F62" i="2"/>
  <c r="E62" i="2"/>
  <c r="D62" i="2"/>
  <c r="C62" i="2"/>
  <c r="B62" i="2"/>
  <c r="Z61" i="2"/>
  <c r="Y61" i="2"/>
  <c r="X61" i="2"/>
  <c r="W61" i="2"/>
  <c r="V61" i="2"/>
  <c r="U61" i="2"/>
  <c r="T61" i="2"/>
  <c r="S61" i="2"/>
  <c r="R61" i="2"/>
  <c r="Q61" i="2"/>
  <c r="P61" i="2"/>
  <c r="O61" i="2"/>
  <c r="N61" i="2"/>
  <c r="M61" i="2"/>
  <c r="L61" i="2"/>
  <c r="K61" i="2"/>
  <c r="J61" i="2"/>
  <c r="I61" i="2"/>
  <c r="H61" i="2"/>
  <c r="G61" i="2"/>
  <c r="F61" i="2"/>
  <c r="E61" i="2"/>
  <c r="D61" i="2"/>
  <c r="C61" i="2"/>
  <c r="B61" i="2"/>
  <c r="Z60" i="2"/>
  <c r="Y60" i="2"/>
  <c r="X60" i="2"/>
  <c r="W60" i="2"/>
  <c r="V60" i="2"/>
  <c r="U60" i="2"/>
  <c r="T60" i="2"/>
  <c r="S60" i="2"/>
  <c r="R60" i="2"/>
  <c r="Q60" i="2"/>
  <c r="P60" i="2"/>
  <c r="O60" i="2"/>
  <c r="N60" i="2"/>
  <c r="M60" i="2"/>
  <c r="L60" i="2"/>
  <c r="K60" i="2"/>
  <c r="J60" i="2"/>
  <c r="I60" i="2"/>
  <c r="H60" i="2"/>
  <c r="G60" i="2"/>
  <c r="F60" i="2"/>
  <c r="E60" i="2"/>
  <c r="D60" i="2"/>
  <c r="C60" i="2"/>
  <c r="B60" i="2"/>
  <c r="Z59" i="2"/>
  <c r="Y59" i="2"/>
  <c r="X59" i="2"/>
  <c r="W59" i="2"/>
  <c r="V59" i="2"/>
  <c r="U59" i="2"/>
  <c r="T59" i="2"/>
  <c r="S59" i="2"/>
  <c r="R59" i="2"/>
  <c r="Q59" i="2"/>
  <c r="P59" i="2"/>
  <c r="O59" i="2"/>
  <c r="N59" i="2"/>
  <c r="M59" i="2"/>
  <c r="L59" i="2"/>
  <c r="K59" i="2"/>
  <c r="J59" i="2"/>
  <c r="I59" i="2"/>
  <c r="H59" i="2"/>
  <c r="G59" i="2"/>
  <c r="F59" i="2"/>
  <c r="E59" i="2"/>
  <c r="D59" i="2"/>
  <c r="C59" i="2"/>
  <c r="B59" i="2"/>
  <c r="Z58" i="2"/>
  <c r="Y58" i="2"/>
  <c r="X58" i="2"/>
  <c r="W58" i="2"/>
  <c r="V58" i="2"/>
  <c r="U58" i="2"/>
  <c r="T58" i="2"/>
  <c r="S58" i="2"/>
  <c r="R58" i="2"/>
  <c r="Q58" i="2"/>
  <c r="P58" i="2"/>
  <c r="O58" i="2"/>
  <c r="N58" i="2"/>
  <c r="M58" i="2"/>
  <c r="L58" i="2"/>
  <c r="K58" i="2"/>
  <c r="J58" i="2"/>
  <c r="I58" i="2"/>
  <c r="H58" i="2"/>
  <c r="G58" i="2"/>
  <c r="F58" i="2"/>
  <c r="E58" i="2"/>
  <c r="D58" i="2"/>
  <c r="C58" i="2"/>
  <c r="B58" i="2"/>
  <c r="Z57" i="2"/>
  <c r="Y57" i="2"/>
  <c r="X57" i="2"/>
  <c r="W57" i="2"/>
  <c r="V57" i="2"/>
  <c r="U57" i="2"/>
  <c r="T57" i="2"/>
  <c r="S57" i="2"/>
  <c r="R57" i="2"/>
  <c r="Q57" i="2"/>
  <c r="P57" i="2"/>
  <c r="O57" i="2"/>
  <c r="N57" i="2"/>
  <c r="M57" i="2"/>
  <c r="L57" i="2"/>
  <c r="K57" i="2"/>
  <c r="J57" i="2"/>
  <c r="I57" i="2"/>
  <c r="H57" i="2"/>
  <c r="G57" i="2"/>
  <c r="F57" i="2"/>
  <c r="E57" i="2"/>
  <c r="D57" i="2"/>
  <c r="C57" i="2"/>
  <c r="B57" i="2"/>
  <c r="Z56" i="2"/>
  <c r="Y56" i="2"/>
  <c r="X56" i="2"/>
  <c r="W56" i="2"/>
  <c r="V56" i="2"/>
  <c r="U56" i="2"/>
  <c r="T56" i="2"/>
  <c r="S56" i="2"/>
  <c r="R56" i="2"/>
  <c r="Q56" i="2"/>
  <c r="P56" i="2"/>
  <c r="O56" i="2"/>
  <c r="N56" i="2"/>
  <c r="M56" i="2"/>
  <c r="L56" i="2"/>
  <c r="K56" i="2"/>
  <c r="J56" i="2"/>
  <c r="I56" i="2"/>
  <c r="H56" i="2"/>
  <c r="G56" i="2"/>
  <c r="F56" i="2"/>
  <c r="E56" i="2"/>
  <c r="D56" i="2"/>
  <c r="C56" i="2"/>
  <c r="B56" i="2"/>
  <c r="Z55" i="2"/>
  <c r="Y55" i="2"/>
  <c r="X55" i="2"/>
  <c r="W55" i="2"/>
  <c r="V55" i="2"/>
  <c r="U55" i="2"/>
  <c r="T55" i="2"/>
  <c r="S55" i="2"/>
  <c r="R55" i="2"/>
  <c r="Q55" i="2"/>
  <c r="P55" i="2"/>
  <c r="O55" i="2"/>
  <c r="N55" i="2"/>
  <c r="M55" i="2"/>
  <c r="L55" i="2"/>
  <c r="K55" i="2"/>
  <c r="J55" i="2"/>
  <c r="I55" i="2"/>
  <c r="H55" i="2"/>
  <c r="G55" i="2"/>
  <c r="F55" i="2"/>
  <c r="E55" i="2"/>
  <c r="D55" i="2"/>
  <c r="C55" i="2"/>
  <c r="B55" i="2"/>
  <c r="Z54" i="2"/>
  <c r="Y54" i="2"/>
  <c r="X54" i="2"/>
  <c r="W54" i="2"/>
  <c r="V54" i="2"/>
  <c r="U54" i="2"/>
  <c r="T54" i="2"/>
  <c r="S54" i="2"/>
  <c r="R54" i="2"/>
  <c r="Q54" i="2"/>
  <c r="P54" i="2"/>
  <c r="O54" i="2"/>
  <c r="N54" i="2"/>
  <c r="M54" i="2"/>
  <c r="L54" i="2"/>
  <c r="K54" i="2"/>
  <c r="J54" i="2"/>
  <c r="I54" i="2"/>
  <c r="H54" i="2"/>
  <c r="G54" i="2"/>
  <c r="F54" i="2"/>
  <c r="E54" i="2"/>
  <c r="D54" i="2"/>
  <c r="C54" i="2"/>
  <c r="B54" i="2"/>
  <c r="Z53" i="2"/>
  <c r="Y53" i="2"/>
  <c r="X53" i="2"/>
  <c r="W53" i="2"/>
  <c r="V53" i="2"/>
  <c r="U53" i="2"/>
  <c r="T53" i="2"/>
  <c r="S53" i="2"/>
  <c r="R53" i="2"/>
  <c r="Q53" i="2"/>
  <c r="P53" i="2"/>
  <c r="O53" i="2"/>
  <c r="N53" i="2"/>
  <c r="M53" i="2"/>
  <c r="L53" i="2"/>
  <c r="K53" i="2"/>
  <c r="J53" i="2"/>
  <c r="I53" i="2"/>
  <c r="H53" i="2"/>
  <c r="G53" i="2"/>
  <c r="F53" i="2"/>
  <c r="E53" i="2"/>
  <c r="D53" i="2"/>
  <c r="C53" i="2"/>
  <c r="B53" i="2"/>
  <c r="Z52" i="2"/>
  <c r="Y52" i="2"/>
  <c r="X52" i="2"/>
  <c r="W52" i="2"/>
  <c r="V52" i="2"/>
  <c r="U52" i="2"/>
  <c r="T52" i="2"/>
  <c r="S52" i="2"/>
  <c r="R52" i="2"/>
  <c r="Q52" i="2"/>
  <c r="P52" i="2"/>
  <c r="O52" i="2"/>
  <c r="N52" i="2"/>
  <c r="M52" i="2"/>
  <c r="L52" i="2"/>
  <c r="K52" i="2"/>
  <c r="J52" i="2"/>
  <c r="I52" i="2"/>
  <c r="H52" i="2"/>
  <c r="G52" i="2"/>
  <c r="F52" i="2"/>
  <c r="E52" i="2"/>
  <c r="D52" i="2"/>
  <c r="C52" i="2"/>
  <c r="B52" i="2"/>
  <c r="Z51" i="2"/>
  <c r="Y51" i="2"/>
  <c r="X51" i="2"/>
  <c r="W51" i="2"/>
  <c r="V51" i="2"/>
  <c r="U51" i="2"/>
  <c r="T51" i="2"/>
  <c r="S51" i="2"/>
  <c r="R51" i="2"/>
  <c r="Q51" i="2"/>
  <c r="P51" i="2"/>
  <c r="O51" i="2"/>
  <c r="N51" i="2"/>
  <c r="M51" i="2"/>
  <c r="L51" i="2"/>
  <c r="K51" i="2"/>
  <c r="J51" i="2"/>
  <c r="I51" i="2"/>
  <c r="H51" i="2"/>
  <c r="G51" i="2"/>
  <c r="F51" i="2"/>
  <c r="E51" i="2"/>
  <c r="D51" i="2"/>
  <c r="C51" i="2"/>
  <c r="B51" i="2"/>
  <c r="Z50" i="2"/>
  <c r="Y50" i="2"/>
  <c r="X50" i="2"/>
  <c r="W50" i="2"/>
  <c r="V50" i="2"/>
  <c r="U50" i="2"/>
  <c r="T50" i="2"/>
  <c r="S50" i="2"/>
  <c r="R50" i="2"/>
  <c r="Q50" i="2"/>
  <c r="P50" i="2"/>
  <c r="O50" i="2"/>
  <c r="N50" i="2"/>
  <c r="M50" i="2"/>
  <c r="L50" i="2"/>
  <c r="K50" i="2"/>
  <c r="J50" i="2"/>
  <c r="I50" i="2"/>
  <c r="H50" i="2"/>
  <c r="G50" i="2"/>
  <c r="F50" i="2"/>
  <c r="E50" i="2"/>
  <c r="D50" i="2"/>
  <c r="C50" i="2"/>
  <c r="B50" i="2"/>
  <c r="Z49" i="2"/>
  <c r="Y49" i="2"/>
  <c r="X49" i="2"/>
  <c r="W49" i="2"/>
  <c r="V49" i="2"/>
  <c r="U49" i="2"/>
  <c r="T49" i="2"/>
  <c r="S49" i="2"/>
  <c r="R49" i="2"/>
  <c r="Q49" i="2"/>
  <c r="P49" i="2"/>
  <c r="O49" i="2"/>
  <c r="N49" i="2"/>
  <c r="M49" i="2"/>
  <c r="L49" i="2"/>
  <c r="K49" i="2"/>
  <c r="J49" i="2"/>
  <c r="I49" i="2"/>
  <c r="H49" i="2"/>
  <c r="G49" i="2"/>
  <c r="F49" i="2"/>
  <c r="E49" i="2"/>
  <c r="D49" i="2"/>
  <c r="C49" i="2"/>
  <c r="B49" i="2"/>
  <c r="Z48" i="2"/>
  <c r="Y48" i="2"/>
  <c r="X48" i="2"/>
  <c r="W48" i="2"/>
  <c r="V48" i="2"/>
  <c r="U48" i="2"/>
  <c r="T48" i="2"/>
  <c r="S48" i="2"/>
  <c r="R48" i="2"/>
  <c r="Q48" i="2"/>
  <c r="P48" i="2"/>
  <c r="O48" i="2"/>
  <c r="N48" i="2"/>
  <c r="M48" i="2"/>
  <c r="L48" i="2"/>
  <c r="K48" i="2"/>
  <c r="J48" i="2"/>
  <c r="I48" i="2"/>
  <c r="H48" i="2"/>
  <c r="G48" i="2"/>
  <c r="F48" i="2"/>
  <c r="E48" i="2"/>
  <c r="D48" i="2"/>
  <c r="C48" i="2"/>
  <c r="B48" i="2"/>
  <c r="Z47" i="2"/>
  <c r="Y47" i="2"/>
  <c r="X47" i="2"/>
  <c r="W47" i="2"/>
  <c r="V47" i="2"/>
  <c r="U47" i="2"/>
  <c r="T47" i="2"/>
  <c r="S47" i="2"/>
  <c r="R47" i="2"/>
  <c r="Q47" i="2"/>
  <c r="P47" i="2"/>
  <c r="O47" i="2"/>
  <c r="N47" i="2"/>
  <c r="M47" i="2"/>
  <c r="L47" i="2"/>
  <c r="K47" i="2"/>
  <c r="J47" i="2"/>
  <c r="I47" i="2"/>
  <c r="H47" i="2"/>
  <c r="G47" i="2"/>
  <c r="F47" i="2"/>
  <c r="E47" i="2"/>
  <c r="D47" i="2"/>
  <c r="C47" i="2"/>
  <c r="B47" i="2"/>
  <c r="Z46" i="2"/>
  <c r="Y46" i="2"/>
  <c r="X46" i="2"/>
  <c r="W46" i="2"/>
  <c r="V46" i="2"/>
  <c r="U46" i="2"/>
  <c r="T46" i="2"/>
  <c r="S46" i="2"/>
  <c r="R46" i="2"/>
  <c r="Q46" i="2"/>
  <c r="P46" i="2"/>
  <c r="O46" i="2"/>
  <c r="N46" i="2"/>
  <c r="M46" i="2"/>
  <c r="L46" i="2"/>
  <c r="K46" i="2"/>
  <c r="J46" i="2"/>
  <c r="I46" i="2"/>
  <c r="H46" i="2"/>
  <c r="G46" i="2"/>
  <c r="F46" i="2"/>
  <c r="E46" i="2"/>
  <c r="D46" i="2"/>
  <c r="C46" i="2"/>
  <c r="B46" i="2"/>
  <c r="Z45" i="2"/>
  <c r="Y45" i="2"/>
  <c r="X45" i="2"/>
  <c r="W45" i="2"/>
  <c r="V45" i="2"/>
  <c r="U45" i="2"/>
  <c r="T45" i="2"/>
  <c r="S45" i="2"/>
  <c r="R45" i="2"/>
  <c r="Q45" i="2"/>
  <c r="P45" i="2"/>
  <c r="O45" i="2"/>
  <c r="N45" i="2"/>
  <c r="M45" i="2"/>
  <c r="L45" i="2"/>
  <c r="K45" i="2"/>
  <c r="J45" i="2"/>
  <c r="I45" i="2"/>
  <c r="H45" i="2"/>
  <c r="G45" i="2"/>
  <c r="F45" i="2"/>
  <c r="E45" i="2"/>
  <c r="D45" i="2"/>
  <c r="C45" i="2"/>
  <c r="B45" i="2"/>
  <c r="Z44" i="2"/>
  <c r="Y44" i="2"/>
  <c r="X44" i="2"/>
  <c r="W44" i="2"/>
  <c r="V44" i="2"/>
  <c r="U44" i="2"/>
  <c r="T44" i="2"/>
  <c r="S44" i="2"/>
  <c r="R44" i="2"/>
  <c r="Q44" i="2"/>
  <c r="P44" i="2"/>
  <c r="O44" i="2"/>
  <c r="N44" i="2"/>
  <c r="M44" i="2"/>
  <c r="L44" i="2"/>
  <c r="K44" i="2"/>
  <c r="J44" i="2"/>
  <c r="I44" i="2"/>
  <c r="H44" i="2"/>
  <c r="G44" i="2"/>
  <c r="F44" i="2"/>
  <c r="E44" i="2"/>
  <c r="D44" i="2"/>
  <c r="C44" i="2"/>
  <c r="B44" i="2"/>
  <c r="Z43" i="2"/>
  <c r="Y43" i="2"/>
  <c r="X43" i="2"/>
  <c r="W43" i="2"/>
  <c r="V43" i="2"/>
  <c r="U43" i="2"/>
  <c r="T43" i="2"/>
  <c r="S43" i="2"/>
  <c r="R43" i="2"/>
  <c r="Q43" i="2"/>
  <c r="P43" i="2"/>
  <c r="O43" i="2"/>
  <c r="N43" i="2"/>
  <c r="M43" i="2"/>
  <c r="L43" i="2"/>
  <c r="K43" i="2"/>
  <c r="J43" i="2"/>
  <c r="I43" i="2"/>
  <c r="H43" i="2"/>
  <c r="G43" i="2"/>
  <c r="F43" i="2"/>
  <c r="E43" i="2"/>
  <c r="D43" i="2"/>
  <c r="C43" i="2"/>
  <c r="B43" i="2"/>
  <c r="Z42" i="2"/>
  <c r="Y42" i="2"/>
  <c r="X42" i="2"/>
  <c r="W42" i="2"/>
  <c r="V42" i="2"/>
  <c r="U42" i="2"/>
  <c r="T42" i="2"/>
  <c r="S42" i="2"/>
  <c r="R42" i="2"/>
  <c r="Q42" i="2"/>
  <c r="P42" i="2"/>
  <c r="O42" i="2"/>
  <c r="N42" i="2"/>
  <c r="M42" i="2"/>
  <c r="L42" i="2"/>
  <c r="K42" i="2"/>
  <c r="J42" i="2"/>
  <c r="I42" i="2"/>
  <c r="H42" i="2"/>
  <c r="G42" i="2"/>
  <c r="F42" i="2"/>
  <c r="E42" i="2"/>
  <c r="D42" i="2"/>
  <c r="C42" i="2"/>
  <c r="B42" i="2"/>
  <c r="G30" i="2"/>
  <c r="E30" i="2"/>
  <c r="D30" i="2"/>
  <c r="G29" i="2"/>
  <c r="E29" i="2"/>
  <c r="D29" i="2"/>
  <c r="G28" i="2"/>
  <c r="E28" i="2"/>
  <c r="D28" i="2"/>
  <c r="G27" i="2"/>
  <c r="E27" i="2"/>
  <c r="D27" i="2"/>
  <c r="G26" i="2"/>
  <c r="E26" i="2"/>
  <c r="D26" i="2"/>
  <c r="G25" i="2"/>
  <c r="E25" i="2"/>
  <c r="D25" i="2"/>
  <c r="G24" i="2"/>
  <c r="E24" i="2"/>
  <c r="D24" i="2"/>
  <c r="G23" i="2"/>
  <c r="E23" i="2"/>
  <c r="D23" i="2"/>
  <c r="G22" i="2"/>
  <c r="E22" i="2"/>
  <c r="D22" i="2"/>
  <c r="G21" i="2"/>
  <c r="E21" i="2"/>
  <c r="D21" i="2"/>
  <c r="G20" i="2"/>
  <c r="E20" i="2"/>
  <c r="D20" i="2"/>
  <c r="G19" i="2"/>
  <c r="E19" i="2"/>
  <c r="D19" i="2"/>
  <c r="G18" i="2"/>
  <c r="E18" i="2"/>
  <c r="D18" i="2"/>
  <c r="G17" i="2"/>
  <c r="E17" i="2"/>
  <c r="D17" i="2"/>
  <c r="G16" i="2"/>
  <c r="E16" i="2"/>
  <c r="D16" i="2"/>
  <c r="G15" i="2"/>
  <c r="E15" i="2"/>
  <c r="D15" i="2"/>
  <c r="G14" i="2"/>
  <c r="E14" i="2"/>
  <c r="D14" i="2"/>
  <c r="G13" i="2"/>
  <c r="E13" i="2"/>
  <c r="D13" i="2"/>
  <c r="G12" i="2"/>
  <c r="E12" i="2"/>
  <c r="D12" i="2"/>
  <c r="G11" i="2"/>
  <c r="E11" i="2"/>
  <c r="D11" i="2"/>
  <c r="G10" i="2"/>
  <c r="E10" i="2"/>
  <c r="D10" i="2"/>
  <c r="G9" i="2"/>
  <c r="E9" i="2"/>
  <c r="D9" i="2"/>
  <c r="G8" i="2"/>
  <c r="E8" i="2"/>
  <c r="D8" i="2"/>
  <c r="G7" i="2"/>
  <c r="E7" i="2"/>
  <c r="D7" i="2"/>
  <c r="G6" i="2"/>
  <c r="E6" i="2"/>
  <c r="D6" i="2"/>
  <c r="Z111" i="3"/>
  <c r="Y111" i="3"/>
  <c r="X111" i="3"/>
  <c r="W111" i="3"/>
  <c r="V111" i="3"/>
  <c r="U111" i="3"/>
  <c r="T111" i="3"/>
  <c r="S111" i="3"/>
  <c r="R111" i="3"/>
  <c r="Q111" i="3"/>
  <c r="P111" i="3"/>
  <c r="O111" i="3"/>
  <c r="N111" i="3"/>
  <c r="M111" i="3"/>
  <c r="L111" i="3"/>
  <c r="K111" i="3"/>
  <c r="J111" i="3"/>
  <c r="I111" i="3"/>
  <c r="H111" i="3"/>
  <c r="G111" i="3"/>
  <c r="F111" i="3"/>
  <c r="E111" i="3"/>
  <c r="D111" i="3"/>
  <c r="C111" i="3"/>
  <c r="B111" i="3"/>
  <c r="Z110" i="3"/>
  <c r="Y110" i="3"/>
  <c r="X110" i="3"/>
  <c r="W110" i="3"/>
  <c r="V110" i="3"/>
  <c r="U110" i="3"/>
  <c r="T110" i="3"/>
  <c r="S110" i="3"/>
  <c r="R110" i="3"/>
  <c r="Q110" i="3"/>
  <c r="P110" i="3"/>
  <c r="O110" i="3"/>
  <c r="N110" i="3"/>
  <c r="M110" i="3"/>
  <c r="L110" i="3"/>
  <c r="K110" i="3"/>
  <c r="J110" i="3"/>
  <c r="I110" i="3"/>
  <c r="H110" i="3"/>
  <c r="G110" i="3"/>
  <c r="F110" i="3"/>
  <c r="E110" i="3"/>
  <c r="D110" i="3"/>
  <c r="C110" i="3"/>
  <c r="B110" i="3"/>
  <c r="Z109" i="3"/>
  <c r="Y109" i="3"/>
  <c r="X109" i="3"/>
  <c r="W109" i="3"/>
  <c r="V109" i="3"/>
  <c r="U109" i="3"/>
  <c r="T109" i="3"/>
  <c r="S109" i="3"/>
  <c r="R109" i="3"/>
  <c r="Q109" i="3"/>
  <c r="P109" i="3"/>
  <c r="O109" i="3"/>
  <c r="N109" i="3"/>
  <c r="M109" i="3"/>
  <c r="L109" i="3"/>
  <c r="K109" i="3"/>
  <c r="J109" i="3"/>
  <c r="I109" i="3"/>
  <c r="H109" i="3"/>
  <c r="G109" i="3"/>
  <c r="F109" i="3"/>
  <c r="E109" i="3"/>
  <c r="D109" i="3"/>
  <c r="C109" i="3"/>
  <c r="B109" i="3"/>
  <c r="Z108" i="3"/>
  <c r="Y108" i="3"/>
  <c r="X108" i="3"/>
  <c r="W108" i="3"/>
  <c r="V108" i="3"/>
  <c r="U108" i="3"/>
  <c r="T108" i="3"/>
  <c r="S108" i="3"/>
  <c r="R108" i="3"/>
  <c r="Q108" i="3"/>
  <c r="P108" i="3"/>
  <c r="O108" i="3"/>
  <c r="N108" i="3"/>
  <c r="M108" i="3"/>
  <c r="L108" i="3"/>
  <c r="K108" i="3"/>
  <c r="J108" i="3"/>
  <c r="I108" i="3"/>
  <c r="H108" i="3"/>
  <c r="G108" i="3"/>
  <c r="F108" i="3"/>
  <c r="E108" i="3"/>
  <c r="D108" i="3"/>
  <c r="C108" i="3"/>
  <c r="B108" i="3"/>
  <c r="Z107" i="3"/>
  <c r="Y107" i="3"/>
  <c r="X107" i="3"/>
  <c r="W107" i="3"/>
  <c r="V107" i="3"/>
  <c r="U107" i="3"/>
  <c r="T107" i="3"/>
  <c r="S107" i="3"/>
  <c r="R107" i="3"/>
  <c r="Q107" i="3"/>
  <c r="P107" i="3"/>
  <c r="O107" i="3"/>
  <c r="N107" i="3"/>
  <c r="M107" i="3"/>
  <c r="L107" i="3"/>
  <c r="K107" i="3"/>
  <c r="J107" i="3"/>
  <c r="I107" i="3"/>
  <c r="H107" i="3"/>
  <c r="G107" i="3"/>
  <c r="F107" i="3"/>
  <c r="E107" i="3"/>
  <c r="D107" i="3"/>
  <c r="C107" i="3"/>
  <c r="B107" i="3"/>
  <c r="Z106" i="3"/>
  <c r="Y106" i="3"/>
  <c r="X106" i="3"/>
  <c r="W106" i="3"/>
  <c r="V106" i="3"/>
  <c r="U106" i="3"/>
  <c r="T106" i="3"/>
  <c r="S106" i="3"/>
  <c r="R106" i="3"/>
  <c r="Q106" i="3"/>
  <c r="P106" i="3"/>
  <c r="O106" i="3"/>
  <c r="N106" i="3"/>
  <c r="M106" i="3"/>
  <c r="L106" i="3"/>
  <c r="K106" i="3"/>
  <c r="J106" i="3"/>
  <c r="I106" i="3"/>
  <c r="H106" i="3"/>
  <c r="G106" i="3"/>
  <c r="F106" i="3"/>
  <c r="E106" i="3"/>
  <c r="D106" i="3"/>
  <c r="C106" i="3"/>
  <c r="B106" i="3"/>
  <c r="Z105" i="3"/>
  <c r="Y105" i="3"/>
  <c r="X105" i="3"/>
  <c r="W105" i="3"/>
  <c r="V105" i="3"/>
  <c r="U105" i="3"/>
  <c r="T105" i="3"/>
  <c r="S105" i="3"/>
  <c r="R105" i="3"/>
  <c r="Q105" i="3"/>
  <c r="P105" i="3"/>
  <c r="O105" i="3"/>
  <c r="N105" i="3"/>
  <c r="M105" i="3"/>
  <c r="L105" i="3"/>
  <c r="K105" i="3"/>
  <c r="J105" i="3"/>
  <c r="I105" i="3"/>
  <c r="H105" i="3"/>
  <c r="G105" i="3"/>
  <c r="F105" i="3"/>
  <c r="E105" i="3"/>
  <c r="D105" i="3"/>
  <c r="C105" i="3"/>
  <c r="B105" i="3"/>
  <c r="Z104" i="3"/>
  <c r="Y104" i="3"/>
  <c r="X104" i="3"/>
  <c r="W104" i="3"/>
  <c r="V104" i="3"/>
  <c r="U104" i="3"/>
  <c r="T104" i="3"/>
  <c r="S104" i="3"/>
  <c r="R104" i="3"/>
  <c r="Q104" i="3"/>
  <c r="P104" i="3"/>
  <c r="O104" i="3"/>
  <c r="N104" i="3"/>
  <c r="M104" i="3"/>
  <c r="L104" i="3"/>
  <c r="K104" i="3"/>
  <c r="J104" i="3"/>
  <c r="I104" i="3"/>
  <c r="H104" i="3"/>
  <c r="G104" i="3"/>
  <c r="F104" i="3"/>
  <c r="E104" i="3"/>
  <c r="D104" i="3"/>
  <c r="C104" i="3"/>
  <c r="B104" i="3"/>
  <c r="Z103" i="3"/>
  <c r="Y103" i="3"/>
  <c r="X103" i="3"/>
  <c r="W103" i="3"/>
  <c r="V103" i="3"/>
  <c r="U103" i="3"/>
  <c r="T103" i="3"/>
  <c r="S103" i="3"/>
  <c r="R103" i="3"/>
  <c r="Q103" i="3"/>
  <c r="P103" i="3"/>
  <c r="O103" i="3"/>
  <c r="N103" i="3"/>
  <c r="M103" i="3"/>
  <c r="L103" i="3"/>
  <c r="K103" i="3"/>
  <c r="J103" i="3"/>
  <c r="I103" i="3"/>
  <c r="H103" i="3"/>
  <c r="G103" i="3"/>
  <c r="F103" i="3"/>
  <c r="E103" i="3"/>
  <c r="D103" i="3"/>
  <c r="C103" i="3"/>
  <c r="B103" i="3"/>
  <c r="Z102" i="3"/>
  <c r="Y102" i="3"/>
  <c r="X102" i="3"/>
  <c r="W102" i="3"/>
  <c r="V102" i="3"/>
  <c r="U102" i="3"/>
  <c r="T102" i="3"/>
  <c r="S102" i="3"/>
  <c r="R102" i="3"/>
  <c r="Q102" i="3"/>
  <c r="P102" i="3"/>
  <c r="O102" i="3"/>
  <c r="N102" i="3"/>
  <c r="M102" i="3"/>
  <c r="L102" i="3"/>
  <c r="K102" i="3"/>
  <c r="J102" i="3"/>
  <c r="I102" i="3"/>
  <c r="H102" i="3"/>
  <c r="G102" i="3"/>
  <c r="F102" i="3"/>
  <c r="E102" i="3"/>
  <c r="D102" i="3"/>
  <c r="C102" i="3"/>
  <c r="B102" i="3"/>
  <c r="Z101" i="3"/>
  <c r="Y101" i="3"/>
  <c r="X101" i="3"/>
  <c r="W101" i="3"/>
  <c r="V101" i="3"/>
  <c r="U101" i="3"/>
  <c r="T101" i="3"/>
  <c r="S101" i="3"/>
  <c r="R101" i="3"/>
  <c r="Q101" i="3"/>
  <c r="P101" i="3"/>
  <c r="O101" i="3"/>
  <c r="N101" i="3"/>
  <c r="M101" i="3"/>
  <c r="L101" i="3"/>
  <c r="K101" i="3"/>
  <c r="J101" i="3"/>
  <c r="I101" i="3"/>
  <c r="H101" i="3"/>
  <c r="G101" i="3"/>
  <c r="F101" i="3"/>
  <c r="E101" i="3"/>
  <c r="D101" i="3"/>
  <c r="C101" i="3"/>
  <c r="B101" i="3"/>
  <c r="Z100" i="3"/>
  <c r="Y100" i="3"/>
  <c r="X100" i="3"/>
  <c r="W100" i="3"/>
  <c r="V100" i="3"/>
  <c r="U100" i="3"/>
  <c r="T100" i="3"/>
  <c r="S100" i="3"/>
  <c r="R100" i="3"/>
  <c r="Q100" i="3"/>
  <c r="P100" i="3"/>
  <c r="O100" i="3"/>
  <c r="N100" i="3"/>
  <c r="M100" i="3"/>
  <c r="L100" i="3"/>
  <c r="K100" i="3"/>
  <c r="J100" i="3"/>
  <c r="I100" i="3"/>
  <c r="H100" i="3"/>
  <c r="G100" i="3"/>
  <c r="F100" i="3"/>
  <c r="E100" i="3"/>
  <c r="D100" i="3"/>
  <c r="C100" i="3"/>
  <c r="B100" i="3"/>
  <c r="Z99" i="3"/>
  <c r="Y99" i="3"/>
  <c r="X99" i="3"/>
  <c r="W99" i="3"/>
  <c r="V99" i="3"/>
  <c r="U99" i="3"/>
  <c r="T99" i="3"/>
  <c r="S99" i="3"/>
  <c r="R99" i="3"/>
  <c r="Q99" i="3"/>
  <c r="P99" i="3"/>
  <c r="O99" i="3"/>
  <c r="N99" i="3"/>
  <c r="M99" i="3"/>
  <c r="L99" i="3"/>
  <c r="K99" i="3"/>
  <c r="J99" i="3"/>
  <c r="I99" i="3"/>
  <c r="H99" i="3"/>
  <c r="G99" i="3"/>
  <c r="F99" i="3"/>
  <c r="E99" i="3"/>
  <c r="D99" i="3"/>
  <c r="C99" i="3"/>
  <c r="B99" i="3"/>
  <c r="Z98" i="3"/>
  <c r="Y98" i="3"/>
  <c r="X98" i="3"/>
  <c r="W98" i="3"/>
  <c r="V98" i="3"/>
  <c r="U98" i="3"/>
  <c r="T98" i="3"/>
  <c r="S98" i="3"/>
  <c r="R98" i="3"/>
  <c r="Q98" i="3"/>
  <c r="P98" i="3"/>
  <c r="O98" i="3"/>
  <c r="N98" i="3"/>
  <c r="M98" i="3"/>
  <c r="L98" i="3"/>
  <c r="K98" i="3"/>
  <c r="J98" i="3"/>
  <c r="I98" i="3"/>
  <c r="H98" i="3"/>
  <c r="G98" i="3"/>
  <c r="F98" i="3"/>
  <c r="E98" i="3"/>
  <c r="D98" i="3"/>
  <c r="C98" i="3"/>
  <c r="B98" i="3"/>
  <c r="Z97" i="3"/>
  <c r="Y97" i="3"/>
  <c r="X97" i="3"/>
  <c r="W97" i="3"/>
  <c r="V97" i="3"/>
  <c r="U97" i="3"/>
  <c r="T97" i="3"/>
  <c r="S97" i="3"/>
  <c r="R97" i="3"/>
  <c r="Q97" i="3"/>
  <c r="P97" i="3"/>
  <c r="O97" i="3"/>
  <c r="N97" i="3"/>
  <c r="M97" i="3"/>
  <c r="L97" i="3"/>
  <c r="K97" i="3"/>
  <c r="J97" i="3"/>
  <c r="I97" i="3"/>
  <c r="H97" i="3"/>
  <c r="G97" i="3"/>
  <c r="F97" i="3"/>
  <c r="E97" i="3"/>
  <c r="D97" i="3"/>
  <c r="C97" i="3"/>
  <c r="B97" i="3"/>
  <c r="Z96" i="3"/>
  <c r="Y96" i="3"/>
  <c r="X96" i="3"/>
  <c r="W96" i="3"/>
  <c r="V96" i="3"/>
  <c r="U96" i="3"/>
  <c r="T96" i="3"/>
  <c r="S96" i="3"/>
  <c r="R96" i="3"/>
  <c r="Q96" i="3"/>
  <c r="P96" i="3"/>
  <c r="O96" i="3"/>
  <c r="N96" i="3"/>
  <c r="M96" i="3"/>
  <c r="L96" i="3"/>
  <c r="K96" i="3"/>
  <c r="J96" i="3"/>
  <c r="I96" i="3"/>
  <c r="H96" i="3"/>
  <c r="G96" i="3"/>
  <c r="F96" i="3"/>
  <c r="E96" i="3"/>
  <c r="D96" i="3"/>
  <c r="C96" i="3"/>
  <c r="B96" i="3"/>
  <c r="Z95" i="3"/>
  <c r="Y95" i="3"/>
  <c r="X95" i="3"/>
  <c r="W95" i="3"/>
  <c r="V95" i="3"/>
  <c r="U95" i="3"/>
  <c r="T95" i="3"/>
  <c r="S95" i="3"/>
  <c r="R95" i="3"/>
  <c r="Q95" i="3"/>
  <c r="P95" i="3"/>
  <c r="O95" i="3"/>
  <c r="N95" i="3"/>
  <c r="M95" i="3"/>
  <c r="L95" i="3"/>
  <c r="K95" i="3"/>
  <c r="J95" i="3"/>
  <c r="I95" i="3"/>
  <c r="H95" i="3"/>
  <c r="G95" i="3"/>
  <c r="F95" i="3"/>
  <c r="E95" i="3"/>
  <c r="D95" i="3"/>
  <c r="C95" i="3"/>
  <c r="B95" i="3"/>
  <c r="Z94" i="3"/>
  <c r="Y94" i="3"/>
  <c r="X94" i="3"/>
  <c r="W94" i="3"/>
  <c r="V94" i="3"/>
  <c r="U94" i="3"/>
  <c r="T94" i="3"/>
  <c r="S94" i="3"/>
  <c r="R94" i="3"/>
  <c r="Q94" i="3"/>
  <c r="P94" i="3"/>
  <c r="O94" i="3"/>
  <c r="N94" i="3"/>
  <c r="M94" i="3"/>
  <c r="L94" i="3"/>
  <c r="K94" i="3"/>
  <c r="J94" i="3"/>
  <c r="I94" i="3"/>
  <c r="H94" i="3"/>
  <c r="G94" i="3"/>
  <c r="F94" i="3"/>
  <c r="E94" i="3"/>
  <c r="D94" i="3"/>
  <c r="C94" i="3"/>
  <c r="B94" i="3"/>
  <c r="Z93" i="3"/>
  <c r="Y93" i="3"/>
  <c r="X93" i="3"/>
  <c r="W93" i="3"/>
  <c r="V93" i="3"/>
  <c r="U93" i="3"/>
  <c r="T93" i="3"/>
  <c r="S93" i="3"/>
  <c r="R93" i="3"/>
  <c r="Q93" i="3"/>
  <c r="P93" i="3"/>
  <c r="O93" i="3"/>
  <c r="N93" i="3"/>
  <c r="M93" i="3"/>
  <c r="L93" i="3"/>
  <c r="K93" i="3"/>
  <c r="J93" i="3"/>
  <c r="I93" i="3"/>
  <c r="H93" i="3"/>
  <c r="G93" i="3"/>
  <c r="F93" i="3"/>
  <c r="E93" i="3"/>
  <c r="D93" i="3"/>
  <c r="C93" i="3"/>
  <c r="B93" i="3"/>
  <c r="Z92" i="3"/>
  <c r="Y92" i="3"/>
  <c r="X92" i="3"/>
  <c r="W92" i="3"/>
  <c r="V92" i="3"/>
  <c r="U92" i="3"/>
  <c r="T92" i="3"/>
  <c r="S92" i="3"/>
  <c r="R92" i="3"/>
  <c r="Q92" i="3"/>
  <c r="P92" i="3"/>
  <c r="O92" i="3"/>
  <c r="N92" i="3"/>
  <c r="M92" i="3"/>
  <c r="L92" i="3"/>
  <c r="K92" i="3"/>
  <c r="J92" i="3"/>
  <c r="I92" i="3"/>
  <c r="H92" i="3"/>
  <c r="G92" i="3"/>
  <c r="F92" i="3"/>
  <c r="E92" i="3"/>
  <c r="D92" i="3"/>
  <c r="C92" i="3"/>
  <c r="B92" i="3"/>
  <c r="Z91" i="3"/>
  <c r="Y91" i="3"/>
  <c r="X91" i="3"/>
  <c r="W91" i="3"/>
  <c r="V91" i="3"/>
  <c r="U91" i="3"/>
  <c r="T91" i="3"/>
  <c r="S91" i="3"/>
  <c r="R91" i="3"/>
  <c r="Q91" i="3"/>
  <c r="P91" i="3"/>
  <c r="O91" i="3"/>
  <c r="N91" i="3"/>
  <c r="M91" i="3"/>
  <c r="L91" i="3"/>
  <c r="K91" i="3"/>
  <c r="J91" i="3"/>
  <c r="I91" i="3"/>
  <c r="H91" i="3"/>
  <c r="G91" i="3"/>
  <c r="F91" i="3"/>
  <c r="E91" i="3"/>
  <c r="D91" i="3"/>
  <c r="C91" i="3"/>
  <c r="B91" i="3"/>
  <c r="Z90" i="3"/>
  <c r="Y90" i="3"/>
  <c r="X90" i="3"/>
  <c r="W90" i="3"/>
  <c r="V90" i="3"/>
  <c r="U90" i="3"/>
  <c r="T90" i="3"/>
  <c r="S90" i="3"/>
  <c r="R90" i="3"/>
  <c r="Q90" i="3"/>
  <c r="P90" i="3"/>
  <c r="O90" i="3"/>
  <c r="N90" i="3"/>
  <c r="M90" i="3"/>
  <c r="L90" i="3"/>
  <c r="K90" i="3"/>
  <c r="J90" i="3"/>
  <c r="I90" i="3"/>
  <c r="H90" i="3"/>
  <c r="G90" i="3"/>
  <c r="F90" i="3"/>
  <c r="E90" i="3"/>
  <c r="D90" i="3"/>
  <c r="C90" i="3"/>
  <c r="B90" i="3"/>
  <c r="Z89" i="3"/>
  <c r="Y89" i="3"/>
  <c r="X89" i="3"/>
  <c r="W89" i="3"/>
  <c r="V89" i="3"/>
  <c r="U89" i="3"/>
  <c r="T89" i="3"/>
  <c r="S89" i="3"/>
  <c r="R89" i="3"/>
  <c r="Q89" i="3"/>
  <c r="P89" i="3"/>
  <c r="O89" i="3"/>
  <c r="N89" i="3"/>
  <c r="M89" i="3"/>
  <c r="L89" i="3"/>
  <c r="K89" i="3"/>
  <c r="J89" i="3"/>
  <c r="I89" i="3"/>
  <c r="H89" i="3"/>
  <c r="G89" i="3"/>
  <c r="F89" i="3"/>
  <c r="E89" i="3"/>
  <c r="D89" i="3"/>
  <c r="C89" i="3"/>
  <c r="B89" i="3"/>
  <c r="Z88" i="3"/>
  <c r="Y88" i="3"/>
  <c r="X88" i="3"/>
  <c r="W88" i="3"/>
  <c r="V88" i="3"/>
  <c r="U88" i="3"/>
  <c r="T88" i="3"/>
  <c r="S88" i="3"/>
  <c r="R88" i="3"/>
  <c r="Q88" i="3"/>
  <c r="P88" i="3"/>
  <c r="O88" i="3"/>
  <c r="N88" i="3"/>
  <c r="M88" i="3"/>
  <c r="L88" i="3"/>
  <c r="K88" i="3"/>
  <c r="J88" i="3"/>
  <c r="I88" i="3"/>
  <c r="H88" i="3"/>
  <c r="G88" i="3"/>
  <c r="F88" i="3"/>
  <c r="E88" i="3"/>
  <c r="D88" i="3"/>
  <c r="C88" i="3"/>
  <c r="B88" i="3"/>
  <c r="Z87" i="3"/>
  <c r="Y87" i="3"/>
  <c r="X87" i="3"/>
  <c r="W87" i="3"/>
  <c r="V87" i="3"/>
  <c r="U87" i="3"/>
  <c r="T87" i="3"/>
  <c r="S87" i="3"/>
  <c r="R87" i="3"/>
  <c r="Q87" i="3"/>
  <c r="P87" i="3"/>
  <c r="O87" i="3"/>
  <c r="N87" i="3"/>
  <c r="M87" i="3"/>
  <c r="L87" i="3"/>
  <c r="K87" i="3"/>
  <c r="J87" i="3"/>
  <c r="I87" i="3"/>
  <c r="H87" i="3"/>
  <c r="G87" i="3"/>
  <c r="F87" i="3"/>
  <c r="E87" i="3"/>
  <c r="D87" i="3"/>
  <c r="C87" i="3"/>
  <c r="B87" i="3"/>
  <c r="Z86" i="3"/>
  <c r="Y86" i="3"/>
  <c r="X86" i="3"/>
  <c r="W86" i="3"/>
  <c r="V86" i="3"/>
  <c r="U86" i="3"/>
  <c r="T86" i="3"/>
  <c r="S86" i="3"/>
  <c r="R86" i="3"/>
  <c r="Q86" i="3"/>
  <c r="P86" i="3"/>
  <c r="O86" i="3"/>
  <c r="N86" i="3"/>
  <c r="M86" i="3"/>
  <c r="L86" i="3"/>
  <c r="K86" i="3"/>
  <c r="J86" i="3"/>
  <c r="I86" i="3"/>
  <c r="H86" i="3"/>
  <c r="G86" i="3"/>
  <c r="F86" i="3"/>
  <c r="E86" i="3"/>
  <c r="D86" i="3"/>
  <c r="C86" i="3"/>
  <c r="B86" i="3"/>
  <c r="Z85" i="3"/>
  <c r="Y85" i="3"/>
  <c r="X85" i="3"/>
  <c r="W85" i="3"/>
  <c r="V85" i="3"/>
  <c r="U85" i="3"/>
  <c r="T85" i="3"/>
  <c r="S85" i="3"/>
  <c r="R85" i="3"/>
  <c r="Q85" i="3"/>
  <c r="P85" i="3"/>
  <c r="O85" i="3"/>
  <c r="N85" i="3"/>
  <c r="M85" i="3"/>
  <c r="L85" i="3"/>
  <c r="K85" i="3"/>
  <c r="J85" i="3"/>
  <c r="I85" i="3"/>
  <c r="H85" i="3"/>
  <c r="G85" i="3"/>
  <c r="F85" i="3"/>
  <c r="E85" i="3"/>
  <c r="D85" i="3"/>
  <c r="C85" i="3"/>
  <c r="B85" i="3"/>
  <c r="Z84" i="3"/>
  <c r="Y84" i="3"/>
  <c r="X84" i="3"/>
  <c r="W84" i="3"/>
  <c r="V84" i="3"/>
  <c r="U84" i="3"/>
  <c r="T84" i="3"/>
  <c r="S84" i="3"/>
  <c r="R84" i="3"/>
  <c r="Q84" i="3"/>
  <c r="P84" i="3"/>
  <c r="O84" i="3"/>
  <c r="N84" i="3"/>
  <c r="M84" i="3"/>
  <c r="L84" i="3"/>
  <c r="K84" i="3"/>
  <c r="J84" i="3"/>
  <c r="I84" i="3"/>
  <c r="H84" i="3"/>
  <c r="G84" i="3"/>
  <c r="F84" i="3"/>
  <c r="E84" i="3"/>
  <c r="D84" i="3"/>
  <c r="C84" i="3"/>
  <c r="B84" i="3"/>
  <c r="Z83" i="3"/>
  <c r="Y83" i="3"/>
  <c r="X83" i="3"/>
  <c r="W83" i="3"/>
  <c r="V83" i="3"/>
  <c r="U83" i="3"/>
  <c r="T83" i="3"/>
  <c r="S83" i="3"/>
  <c r="R83" i="3"/>
  <c r="Q83" i="3"/>
  <c r="P83" i="3"/>
  <c r="O83" i="3"/>
  <c r="N83" i="3"/>
  <c r="M83" i="3"/>
  <c r="L83" i="3"/>
  <c r="K83" i="3"/>
  <c r="J83" i="3"/>
  <c r="I83" i="3"/>
  <c r="H83" i="3"/>
  <c r="G83" i="3"/>
  <c r="F83" i="3"/>
  <c r="E83" i="3"/>
  <c r="D83" i="3"/>
  <c r="C83" i="3"/>
  <c r="B83" i="3"/>
  <c r="Z82" i="3"/>
  <c r="Y82" i="3"/>
  <c r="X82" i="3"/>
  <c r="W82" i="3"/>
  <c r="V82" i="3"/>
  <c r="U82" i="3"/>
  <c r="T82" i="3"/>
  <c r="S82" i="3"/>
  <c r="R82" i="3"/>
  <c r="Q82" i="3"/>
  <c r="P82" i="3"/>
  <c r="O82" i="3"/>
  <c r="N82" i="3"/>
  <c r="M82" i="3"/>
  <c r="L82" i="3"/>
  <c r="K82" i="3"/>
  <c r="J82" i="3"/>
  <c r="I82" i="3"/>
  <c r="H82" i="3"/>
  <c r="G82" i="3"/>
  <c r="F82" i="3"/>
  <c r="E82" i="3"/>
  <c r="D82" i="3"/>
  <c r="C82" i="3"/>
  <c r="B82" i="3"/>
  <c r="Z81" i="3"/>
  <c r="Y81" i="3"/>
  <c r="X81" i="3"/>
  <c r="W81" i="3"/>
  <c r="V81" i="3"/>
  <c r="U81" i="3"/>
  <c r="T81" i="3"/>
  <c r="S81" i="3"/>
  <c r="R81" i="3"/>
  <c r="Q81" i="3"/>
  <c r="P81" i="3"/>
  <c r="O81" i="3"/>
  <c r="N81" i="3"/>
  <c r="M81" i="3"/>
  <c r="L81" i="3"/>
  <c r="K81" i="3"/>
  <c r="J81" i="3"/>
  <c r="I81" i="3"/>
  <c r="H81" i="3"/>
  <c r="G81" i="3"/>
  <c r="F81" i="3"/>
  <c r="E81" i="3"/>
  <c r="D81" i="3"/>
  <c r="C81" i="3"/>
  <c r="B81" i="3"/>
  <c r="Z80" i="3"/>
  <c r="Y80" i="3"/>
  <c r="X80" i="3"/>
  <c r="W80" i="3"/>
  <c r="V80" i="3"/>
  <c r="U80" i="3"/>
  <c r="T80" i="3"/>
  <c r="S80" i="3"/>
  <c r="R80" i="3"/>
  <c r="Q80" i="3"/>
  <c r="P80" i="3"/>
  <c r="O80" i="3"/>
  <c r="N80" i="3"/>
  <c r="M80" i="3"/>
  <c r="L80" i="3"/>
  <c r="K80" i="3"/>
  <c r="J80" i="3"/>
  <c r="I80" i="3"/>
  <c r="H80" i="3"/>
  <c r="G80" i="3"/>
  <c r="F80" i="3"/>
  <c r="E80" i="3"/>
  <c r="D80" i="3"/>
  <c r="C80" i="3"/>
  <c r="B80" i="3"/>
  <c r="Z79" i="3"/>
  <c r="Y79" i="3"/>
  <c r="X79" i="3"/>
  <c r="W79" i="3"/>
  <c r="V79" i="3"/>
  <c r="U79" i="3"/>
  <c r="T79" i="3"/>
  <c r="S79" i="3"/>
  <c r="R79" i="3"/>
  <c r="Q79" i="3"/>
  <c r="P79" i="3"/>
  <c r="O79" i="3"/>
  <c r="N79" i="3"/>
  <c r="M79" i="3"/>
  <c r="L79" i="3"/>
  <c r="K79" i="3"/>
  <c r="J79" i="3"/>
  <c r="I79" i="3"/>
  <c r="H79" i="3"/>
  <c r="G79" i="3"/>
  <c r="F79" i="3"/>
  <c r="E79" i="3"/>
  <c r="D79" i="3"/>
  <c r="C79" i="3"/>
  <c r="B79" i="3"/>
  <c r="Z78" i="3"/>
  <c r="Y78" i="3"/>
  <c r="X78" i="3"/>
  <c r="W78" i="3"/>
  <c r="V78" i="3"/>
  <c r="U78" i="3"/>
  <c r="T78" i="3"/>
  <c r="S78" i="3"/>
  <c r="R78" i="3"/>
  <c r="Q78" i="3"/>
  <c r="P78" i="3"/>
  <c r="O78" i="3"/>
  <c r="N78" i="3"/>
  <c r="M78" i="3"/>
  <c r="L78" i="3"/>
  <c r="K78" i="3"/>
  <c r="J78" i="3"/>
  <c r="I78" i="3"/>
  <c r="H78" i="3"/>
  <c r="G78" i="3"/>
  <c r="F78" i="3"/>
  <c r="E78" i="3"/>
  <c r="D78" i="3"/>
  <c r="C78" i="3"/>
  <c r="B78" i="3"/>
  <c r="Z77" i="3"/>
  <c r="Y77" i="3"/>
  <c r="X77" i="3"/>
  <c r="W77" i="3"/>
  <c r="V77" i="3"/>
  <c r="U77" i="3"/>
  <c r="T77" i="3"/>
  <c r="S77" i="3"/>
  <c r="R77" i="3"/>
  <c r="Q77" i="3"/>
  <c r="P77" i="3"/>
  <c r="O77" i="3"/>
  <c r="N77" i="3"/>
  <c r="M77" i="3"/>
  <c r="L77" i="3"/>
  <c r="K77" i="3"/>
  <c r="J77" i="3"/>
  <c r="I77" i="3"/>
  <c r="H77" i="3"/>
  <c r="G77" i="3"/>
  <c r="F77" i="3"/>
  <c r="E77" i="3"/>
  <c r="D77" i="3"/>
  <c r="C77" i="3"/>
  <c r="B77" i="3"/>
  <c r="Z76" i="3"/>
  <c r="Y76" i="3"/>
  <c r="X76" i="3"/>
  <c r="W76" i="3"/>
  <c r="V76" i="3"/>
  <c r="U76" i="3"/>
  <c r="T76" i="3"/>
  <c r="S76" i="3"/>
  <c r="R76" i="3"/>
  <c r="Q76" i="3"/>
  <c r="P76" i="3"/>
  <c r="O76" i="3"/>
  <c r="N76" i="3"/>
  <c r="M76" i="3"/>
  <c r="L76" i="3"/>
  <c r="K76" i="3"/>
  <c r="J76" i="3"/>
  <c r="I76" i="3"/>
  <c r="H76" i="3"/>
  <c r="G76" i="3"/>
  <c r="F76" i="3"/>
  <c r="E76" i="3"/>
  <c r="D76" i="3"/>
  <c r="C76" i="3"/>
  <c r="B76" i="3"/>
  <c r="Z75" i="3"/>
  <c r="Y75" i="3"/>
  <c r="X75" i="3"/>
  <c r="W75" i="3"/>
  <c r="V75" i="3"/>
  <c r="U75" i="3"/>
  <c r="T75" i="3"/>
  <c r="S75" i="3"/>
  <c r="R75" i="3"/>
  <c r="Q75" i="3"/>
  <c r="P75" i="3"/>
  <c r="O75" i="3"/>
  <c r="N75" i="3"/>
  <c r="M75" i="3"/>
  <c r="L75" i="3"/>
  <c r="K75" i="3"/>
  <c r="J75" i="3"/>
  <c r="I75" i="3"/>
  <c r="H75" i="3"/>
  <c r="G75" i="3"/>
  <c r="F75" i="3"/>
  <c r="E75" i="3"/>
  <c r="D75" i="3"/>
  <c r="C75" i="3"/>
  <c r="B75" i="3"/>
  <c r="Z74" i="3"/>
  <c r="Y74" i="3"/>
  <c r="X74" i="3"/>
  <c r="W74" i="3"/>
  <c r="V74" i="3"/>
  <c r="U74" i="3"/>
  <c r="T74" i="3"/>
  <c r="S74" i="3"/>
  <c r="R74" i="3"/>
  <c r="Q74" i="3"/>
  <c r="P74" i="3"/>
  <c r="O74" i="3"/>
  <c r="N74" i="3"/>
  <c r="M74" i="3"/>
  <c r="L74" i="3"/>
  <c r="K74" i="3"/>
  <c r="J74" i="3"/>
  <c r="I74" i="3"/>
  <c r="H74" i="3"/>
  <c r="G74" i="3"/>
  <c r="F74" i="3"/>
  <c r="E74" i="3"/>
  <c r="D74" i="3"/>
  <c r="C74" i="3"/>
  <c r="B74" i="3"/>
  <c r="Z73" i="3"/>
  <c r="Y73" i="3"/>
  <c r="X73" i="3"/>
  <c r="W73" i="3"/>
  <c r="V73" i="3"/>
  <c r="U73" i="3"/>
  <c r="T73" i="3"/>
  <c r="S73" i="3"/>
  <c r="R73" i="3"/>
  <c r="Q73" i="3"/>
  <c r="P73" i="3"/>
  <c r="O73" i="3"/>
  <c r="N73" i="3"/>
  <c r="M73" i="3"/>
  <c r="L73" i="3"/>
  <c r="K73" i="3"/>
  <c r="J73" i="3"/>
  <c r="I73" i="3"/>
  <c r="H73" i="3"/>
  <c r="G73" i="3"/>
  <c r="F73" i="3"/>
  <c r="E73" i="3"/>
  <c r="D73" i="3"/>
  <c r="C73" i="3"/>
  <c r="B73" i="3"/>
  <c r="Z72" i="3"/>
  <c r="Y72" i="3"/>
  <c r="X72" i="3"/>
  <c r="W72" i="3"/>
  <c r="V72" i="3"/>
  <c r="U72" i="3"/>
  <c r="T72" i="3"/>
  <c r="S72" i="3"/>
  <c r="R72" i="3"/>
  <c r="Q72" i="3"/>
  <c r="P72" i="3"/>
  <c r="O72" i="3"/>
  <c r="N72" i="3"/>
  <c r="M72" i="3"/>
  <c r="L72" i="3"/>
  <c r="K72" i="3"/>
  <c r="J72" i="3"/>
  <c r="I72" i="3"/>
  <c r="H72" i="3"/>
  <c r="G72" i="3"/>
  <c r="F72" i="3"/>
  <c r="E72" i="3"/>
  <c r="D72" i="3"/>
  <c r="C72" i="3"/>
  <c r="B72" i="3"/>
  <c r="Z71" i="3"/>
  <c r="Y71" i="3"/>
  <c r="X71" i="3"/>
  <c r="W71" i="3"/>
  <c r="V71" i="3"/>
  <c r="U71" i="3"/>
  <c r="T71" i="3"/>
  <c r="S71" i="3"/>
  <c r="R71" i="3"/>
  <c r="Q71" i="3"/>
  <c r="P71" i="3"/>
  <c r="O71" i="3"/>
  <c r="N71" i="3"/>
  <c r="M71" i="3"/>
  <c r="L71" i="3"/>
  <c r="K71" i="3"/>
  <c r="J71" i="3"/>
  <c r="I71" i="3"/>
  <c r="H71" i="3"/>
  <c r="G71" i="3"/>
  <c r="F71" i="3"/>
  <c r="E71" i="3"/>
  <c r="D71" i="3"/>
  <c r="C71" i="3"/>
  <c r="B71" i="3"/>
  <c r="Z70" i="3"/>
  <c r="Y70" i="3"/>
  <c r="X70" i="3"/>
  <c r="W70" i="3"/>
  <c r="V70" i="3"/>
  <c r="U70" i="3"/>
  <c r="T70" i="3"/>
  <c r="S70" i="3"/>
  <c r="R70" i="3"/>
  <c r="Q70" i="3"/>
  <c r="P70" i="3"/>
  <c r="O70" i="3"/>
  <c r="N70" i="3"/>
  <c r="M70" i="3"/>
  <c r="L70" i="3"/>
  <c r="K70" i="3"/>
  <c r="J70" i="3"/>
  <c r="I70" i="3"/>
  <c r="H70" i="3"/>
  <c r="G70" i="3"/>
  <c r="F70" i="3"/>
  <c r="E70" i="3"/>
  <c r="D70" i="3"/>
  <c r="C70" i="3"/>
  <c r="B70" i="3"/>
  <c r="Z69" i="3"/>
  <c r="Y69" i="3"/>
  <c r="X69" i="3"/>
  <c r="W69" i="3"/>
  <c r="V69" i="3"/>
  <c r="U69" i="3"/>
  <c r="T69" i="3"/>
  <c r="S69" i="3"/>
  <c r="R69" i="3"/>
  <c r="Q69" i="3"/>
  <c r="P69" i="3"/>
  <c r="O69" i="3"/>
  <c r="N69" i="3"/>
  <c r="M69" i="3"/>
  <c r="L69" i="3"/>
  <c r="K69" i="3"/>
  <c r="J69" i="3"/>
  <c r="I69" i="3"/>
  <c r="H69" i="3"/>
  <c r="G69" i="3"/>
  <c r="F69" i="3"/>
  <c r="E69" i="3"/>
  <c r="D69" i="3"/>
  <c r="C69" i="3"/>
  <c r="B69" i="3"/>
  <c r="Z68" i="3"/>
  <c r="Y68" i="3"/>
  <c r="X68" i="3"/>
  <c r="W68" i="3"/>
  <c r="V68" i="3"/>
  <c r="U68" i="3"/>
  <c r="T68" i="3"/>
  <c r="S68" i="3"/>
  <c r="R68" i="3"/>
  <c r="Q68" i="3"/>
  <c r="P68" i="3"/>
  <c r="O68" i="3"/>
  <c r="N68" i="3"/>
  <c r="M68" i="3"/>
  <c r="L68" i="3"/>
  <c r="K68" i="3"/>
  <c r="J68" i="3"/>
  <c r="I68" i="3"/>
  <c r="H68" i="3"/>
  <c r="G68" i="3"/>
  <c r="F68" i="3"/>
  <c r="E68" i="3"/>
  <c r="D68" i="3"/>
  <c r="C68" i="3"/>
  <c r="B68" i="3"/>
  <c r="Z67" i="3"/>
  <c r="Y67" i="3"/>
  <c r="X67" i="3"/>
  <c r="W67" i="3"/>
  <c r="V67" i="3"/>
  <c r="U67" i="3"/>
  <c r="T67" i="3"/>
  <c r="S67" i="3"/>
  <c r="R67" i="3"/>
  <c r="Q67" i="3"/>
  <c r="P67" i="3"/>
  <c r="O67" i="3"/>
  <c r="N67" i="3"/>
  <c r="M67" i="3"/>
  <c r="L67" i="3"/>
  <c r="K67" i="3"/>
  <c r="J67" i="3"/>
  <c r="I67" i="3"/>
  <c r="H67" i="3"/>
  <c r="G67" i="3"/>
  <c r="F67" i="3"/>
  <c r="E67" i="3"/>
  <c r="D67" i="3"/>
  <c r="C67" i="3"/>
  <c r="B67" i="3"/>
  <c r="Z66" i="3"/>
  <c r="Y66" i="3"/>
  <c r="X66" i="3"/>
  <c r="W66" i="3"/>
  <c r="V66" i="3"/>
  <c r="U66" i="3"/>
  <c r="T66" i="3"/>
  <c r="S66" i="3"/>
  <c r="R66" i="3"/>
  <c r="Q66" i="3"/>
  <c r="P66" i="3"/>
  <c r="O66" i="3"/>
  <c r="N66" i="3"/>
  <c r="M66" i="3"/>
  <c r="L66" i="3"/>
  <c r="K66" i="3"/>
  <c r="J66" i="3"/>
  <c r="I66" i="3"/>
  <c r="H66" i="3"/>
  <c r="G66" i="3"/>
  <c r="F66" i="3"/>
  <c r="E66" i="3"/>
  <c r="D66" i="3"/>
  <c r="C66" i="3"/>
  <c r="B66" i="3"/>
  <c r="Z65" i="3"/>
  <c r="Y65" i="3"/>
  <c r="X65" i="3"/>
  <c r="W65" i="3"/>
  <c r="V65" i="3"/>
  <c r="U65" i="3"/>
  <c r="T65" i="3"/>
  <c r="S65" i="3"/>
  <c r="R65" i="3"/>
  <c r="Q65" i="3"/>
  <c r="P65" i="3"/>
  <c r="O65" i="3"/>
  <c r="N65" i="3"/>
  <c r="M65" i="3"/>
  <c r="L65" i="3"/>
  <c r="K65" i="3"/>
  <c r="J65" i="3"/>
  <c r="I65" i="3"/>
  <c r="H65" i="3"/>
  <c r="G65" i="3"/>
  <c r="F65" i="3"/>
  <c r="E65" i="3"/>
  <c r="D65" i="3"/>
  <c r="C65" i="3"/>
  <c r="B65" i="3"/>
  <c r="Z64" i="3"/>
  <c r="Y64" i="3"/>
  <c r="X64" i="3"/>
  <c r="W64" i="3"/>
  <c r="V64" i="3"/>
  <c r="U64" i="3"/>
  <c r="T64" i="3"/>
  <c r="S64" i="3"/>
  <c r="R64" i="3"/>
  <c r="Q64" i="3"/>
  <c r="P64" i="3"/>
  <c r="O64" i="3"/>
  <c r="N64" i="3"/>
  <c r="M64" i="3"/>
  <c r="L64" i="3"/>
  <c r="K64" i="3"/>
  <c r="J64" i="3"/>
  <c r="I64" i="3"/>
  <c r="H64" i="3"/>
  <c r="G64" i="3"/>
  <c r="F64" i="3"/>
  <c r="E64" i="3"/>
  <c r="D64" i="3"/>
  <c r="C64" i="3"/>
  <c r="B64" i="3"/>
  <c r="Z63" i="3"/>
  <c r="Y63" i="3"/>
  <c r="X63" i="3"/>
  <c r="W63" i="3"/>
  <c r="V63" i="3"/>
  <c r="U63" i="3"/>
  <c r="T63" i="3"/>
  <c r="S63" i="3"/>
  <c r="R63" i="3"/>
  <c r="Q63" i="3"/>
  <c r="P63" i="3"/>
  <c r="O63" i="3"/>
  <c r="N63" i="3"/>
  <c r="M63" i="3"/>
  <c r="L63" i="3"/>
  <c r="K63" i="3"/>
  <c r="J63" i="3"/>
  <c r="I63" i="3"/>
  <c r="H63" i="3"/>
  <c r="G63" i="3"/>
  <c r="F63" i="3"/>
  <c r="E63" i="3"/>
  <c r="D63" i="3"/>
  <c r="C63" i="3"/>
  <c r="B63" i="3"/>
  <c r="Z62" i="3"/>
  <c r="Y62" i="3"/>
  <c r="X62" i="3"/>
  <c r="W62" i="3"/>
  <c r="V62" i="3"/>
  <c r="U62" i="3"/>
  <c r="T62" i="3"/>
  <c r="S62" i="3"/>
  <c r="R62" i="3"/>
  <c r="Q62" i="3"/>
  <c r="P62" i="3"/>
  <c r="O62" i="3"/>
  <c r="N62" i="3"/>
  <c r="M62" i="3"/>
  <c r="L62" i="3"/>
  <c r="K62" i="3"/>
  <c r="J62" i="3"/>
  <c r="I62" i="3"/>
  <c r="H62" i="3"/>
  <c r="G62" i="3"/>
  <c r="F62" i="3"/>
  <c r="E62" i="3"/>
  <c r="D62" i="3"/>
  <c r="C62" i="3"/>
  <c r="B62" i="3"/>
  <c r="Z61" i="3"/>
  <c r="Y61" i="3"/>
  <c r="X61" i="3"/>
  <c r="W61" i="3"/>
  <c r="V61" i="3"/>
  <c r="U61" i="3"/>
  <c r="T61" i="3"/>
  <c r="S61" i="3"/>
  <c r="R61" i="3"/>
  <c r="Q61" i="3"/>
  <c r="P61" i="3"/>
  <c r="O61" i="3"/>
  <c r="N61" i="3"/>
  <c r="M61" i="3"/>
  <c r="L61" i="3"/>
  <c r="K61" i="3"/>
  <c r="J61" i="3"/>
  <c r="I61" i="3"/>
  <c r="H61" i="3"/>
  <c r="G61" i="3"/>
  <c r="F61" i="3"/>
  <c r="E61" i="3"/>
  <c r="D61" i="3"/>
  <c r="C61" i="3"/>
  <c r="B61" i="3"/>
  <c r="Z60" i="3"/>
  <c r="Y60" i="3"/>
  <c r="X60" i="3"/>
  <c r="W60" i="3"/>
  <c r="V60" i="3"/>
  <c r="U60" i="3"/>
  <c r="T60" i="3"/>
  <c r="S60" i="3"/>
  <c r="R60" i="3"/>
  <c r="Q60" i="3"/>
  <c r="P60" i="3"/>
  <c r="O60" i="3"/>
  <c r="N60" i="3"/>
  <c r="M60" i="3"/>
  <c r="L60" i="3"/>
  <c r="K60" i="3"/>
  <c r="J60" i="3"/>
  <c r="I60" i="3"/>
  <c r="H60" i="3"/>
  <c r="G60" i="3"/>
  <c r="F60" i="3"/>
  <c r="E60" i="3"/>
  <c r="D60" i="3"/>
  <c r="C60" i="3"/>
  <c r="B60" i="3"/>
  <c r="Z59" i="3"/>
  <c r="Y59" i="3"/>
  <c r="X59" i="3"/>
  <c r="W59" i="3"/>
  <c r="V59" i="3"/>
  <c r="U59" i="3"/>
  <c r="T59" i="3"/>
  <c r="S59" i="3"/>
  <c r="R59" i="3"/>
  <c r="Q59" i="3"/>
  <c r="P59" i="3"/>
  <c r="O59" i="3"/>
  <c r="N59" i="3"/>
  <c r="M59" i="3"/>
  <c r="L59" i="3"/>
  <c r="K59" i="3"/>
  <c r="J59" i="3"/>
  <c r="I59" i="3"/>
  <c r="H59" i="3"/>
  <c r="G59" i="3"/>
  <c r="F59" i="3"/>
  <c r="E59" i="3"/>
  <c r="D59" i="3"/>
  <c r="C59" i="3"/>
  <c r="B59" i="3"/>
  <c r="Z58" i="3"/>
  <c r="Y58" i="3"/>
  <c r="X58" i="3"/>
  <c r="W58" i="3"/>
  <c r="V58" i="3"/>
  <c r="U58" i="3"/>
  <c r="T58" i="3"/>
  <c r="S58" i="3"/>
  <c r="R58" i="3"/>
  <c r="Q58" i="3"/>
  <c r="P58" i="3"/>
  <c r="O58" i="3"/>
  <c r="N58" i="3"/>
  <c r="M58" i="3"/>
  <c r="L58" i="3"/>
  <c r="K58" i="3"/>
  <c r="J58" i="3"/>
  <c r="I58" i="3"/>
  <c r="H58" i="3"/>
  <c r="G58" i="3"/>
  <c r="F58" i="3"/>
  <c r="E58" i="3"/>
  <c r="D58" i="3"/>
  <c r="C58" i="3"/>
  <c r="B58" i="3"/>
  <c r="Z57" i="3"/>
  <c r="Y57" i="3"/>
  <c r="X57" i="3"/>
  <c r="W57" i="3"/>
  <c r="V57" i="3"/>
  <c r="U57" i="3"/>
  <c r="T57" i="3"/>
  <c r="S57" i="3"/>
  <c r="R57" i="3"/>
  <c r="Q57" i="3"/>
  <c r="P57" i="3"/>
  <c r="O57" i="3"/>
  <c r="N57" i="3"/>
  <c r="M57" i="3"/>
  <c r="L57" i="3"/>
  <c r="K57" i="3"/>
  <c r="J57" i="3"/>
  <c r="I57" i="3"/>
  <c r="H57" i="3"/>
  <c r="G57" i="3"/>
  <c r="F57" i="3"/>
  <c r="E57" i="3"/>
  <c r="D57" i="3"/>
  <c r="C57" i="3"/>
  <c r="B57" i="3"/>
  <c r="Z56" i="3"/>
  <c r="Y56" i="3"/>
  <c r="X56" i="3"/>
  <c r="W56" i="3"/>
  <c r="V56" i="3"/>
  <c r="U56" i="3"/>
  <c r="T56" i="3"/>
  <c r="S56" i="3"/>
  <c r="R56" i="3"/>
  <c r="Q56" i="3"/>
  <c r="P56" i="3"/>
  <c r="O56" i="3"/>
  <c r="N56" i="3"/>
  <c r="M56" i="3"/>
  <c r="L56" i="3"/>
  <c r="K56" i="3"/>
  <c r="J56" i="3"/>
  <c r="I56" i="3"/>
  <c r="H56" i="3"/>
  <c r="G56" i="3"/>
  <c r="F56" i="3"/>
  <c r="E56" i="3"/>
  <c r="D56" i="3"/>
  <c r="C56" i="3"/>
  <c r="B56" i="3"/>
  <c r="Z55" i="3"/>
  <c r="Y55" i="3"/>
  <c r="X55" i="3"/>
  <c r="W55" i="3"/>
  <c r="V55" i="3"/>
  <c r="U55" i="3"/>
  <c r="T55" i="3"/>
  <c r="S55" i="3"/>
  <c r="R55" i="3"/>
  <c r="Q55" i="3"/>
  <c r="P55" i="3"/>
  <c r="O55" i="3"/>
  <c r="N55" i="3"/>
  <c r="M55" i="3"/>
  <c r="L55" i="3"/>
  <c r="K55" i="3"/>
  <c r="J55" i="3"/>
  <c r="I55" i="3"/>
  <c r="H55" i="3"/>
  <c r="G55" i="3"/>
  <c r="F55" i="3"/>
  <c r="E55" i="3"/>
  <c r="D55" i="3"/>
  <c r="C55" i="3"/>
  <c r="B55" i="3"/>
  <c r="Z54" i="3"/>
  <c r="Y54" i="3"/>
  <c r="X54" i="3"/>
  <c r="W54" i="3"/>
  <c r="V54" i="3"/>
  <c r="U54" i="3"/>
  <c r="T54" i="3"/>
  <c r="S54" i="3"/>
  <c r="R54" i="3"/>
  <c r="Q54" i="3"/>
  <c r="P54" i="3"/>
  <c r="O54" i="3"/>
  <c r="N54" i="3"/>
  <c r="M54" i="3"/>
  <c r="L54" i="3"/>
  <c r="K54" i="3"/>
  <c r="J54" i="3"/>
  <c r="I54" i="3"/>
  <c r="H54" i="3"/>
  <c r="G54" i="3"/>
  <c r="F54" i="3"/>
  <c r="E54" i="3"/>
  <c r="D54" i="3"/>
  <c r="C54" i="3"/>
  <c r="B54" i="3"/>
  <c r="Z53" i="3"/>
  <c r="Y53" i="3"/>
  <c r="X53" i="3"/>
  <c r="W53" i="3"/>
  <c r="V53" i="3"/>
  <c r="U53" i="3"/>
  <c r="T53" i="3"/>
  <c r="S53" i="3"/>
  <c r="R53" i="3"/>
  <c r="Q53" i="3"/>
  <c r="P53" i="3"/>
  <c r="O53" i="3"/>
  <c r="N53" i="3"/>
  <c r="M53" i="3"/>
  <c r="L53" i="3"/>
  <c r="K53" i="3"/>
  <c r="J53" i="3"/>
  <c r="I53" i="3"/>
  <c r="H53" i="3"/>
  <c r="G53" i="3"/>
  <c r="F53" i="3"/>
  <c r="E53" i="3"/>
  <c r="D53" i="3"/>
  <c r="C53" i="3"/>
  <c r="B53" i="3"/>
  <c r="Z52" i="3"/>
  <c r="Y52" i="3"/>
  <c r="X52" i="3"/>
  <c r="W52" i="3"/>
  <c r="V52" i="3"/>
  <c r="U52" i="3"/>
  <c r="T52" i="3"/>
  <c r="S52" i="3"/>
  <c r="R52" i="3"/>
  <c r="Q52" i="3"/>
  <c r="P52" i="3"/>
  <c r="O52" i="3"/>
  <c r="N52" i="3"/>
  <c r="M52" i="3"/>
  <c r="L52" i="3"/>
  <c r="K52" i="3"/>
  <c r="J52" i="3"/>
  <c r="I52" i="3"/>
  <c r="H52" i="3"/>
  <c r="G52" i="3"/>
  <c r="F52" i="3"/>
  <c r="E52" i="3"/>
  <c r="D52" i="3"/>
  <c r="C52" i="3"/>
  <c r="B52" i="3"/>
  <c r="Z51" i="3"/>
  <c r="Y51" i="3"/>
  <c r="X51" i="3"/>
  <c r="W51" i="3"/>
  <c r="V51" i="3"/>
  <c r="U51" i="3"/>
  <c r="T51" i="3"/>
  <c r="S51" i="3"/>
  <c r="R51" i="3"/>
  <c r="Q51" i="3"/>
  <c r="P51" i="3"/>
  <c r="O51" i="3"/>
  <c r="N51" i="3"/>
  <c r="M51" i="3"/>
  <c r="L51" i="3"/>
  <c r="K51" i="3"/>
  <c r="J51" i="3"/>
  <c r="I51" i="3"/>
  <c r="H51" i="3"/>
  <c r="G51" i="3"/>
  <c r="F51" i="3"/>
  <c r="E51" i="3"/>
  <c r="D51" i="3"/>
  <c r="C51" i="3"/>
  <c r="B51" i="3"/>
  <c r="Z50" i="3"/>
  <c r="Y50" i="3"/>
  <c r="X50" i="3"/>
  <c r="W50" i="3"/>
  <c r="V50" i="3"/>
  <c r="U50" i="3"/>
  <c r="T50" i="3"/>
  <c r="S50" i="3"/>
  <c r="R50" i="3"/>
  <c r="Q50" i="3"/>
  <c r="P50" i="3"/>
  <c r="O50" i="3"/>
  <c r="N50" i="3"/>
  <c r="M50" i="3"/>
  <c r="L50" i="3"/>
  <c r="K50" i="3"/>
  <c r="J50" i="3"/>
  <c r="I50" i="3"/>
  <c r="H50" i="3"/>
  <c r="G50" i="3"/>
  <c r="F50" i="3"/>
  <c r="E50" i="3"/>
  <c r="D50" i="3"/>
  <c r="C50" i="3"/>
  <c r="B50" i="3"/>
  <c r="Z49" i="3"/>
  <c r="Y49" i="3"/>
  <c r="X49" i="3"/>
  <c r="W49" i="3"/>
  <c r="V49" i="3"/>
  <c r="U49" i="3"/>
  <c r="T49" i="3"/>
  <c r="S49" i="3"/>
  <c r="R49" i="3"/>
  <c r="Q49" i="3"/>
  <c r="P49" i="3"/>
  <c r="O49" i="3"/>
  <c r="N49" i="3"/>
  <c r="M49" i="3"/>
  <c r="L49" i="3"/>
  <c r="K49" i="3"/>
  <c r="J49" i="3"/>
  <c r="I49" i="3"/>
  <c r="H49" i="3"/>
  <c r="G49" i="3"/>
  <c r="F49" i="3"/>
  <c r="E49" i="3"/>
  <c r="D49" i="3"/>
  <c r="C49" i="3"/>
  <c r="B49" i="3"/>
  <c r="Z48" i="3"/>
  <c r="Y48" i="3"/>
  <c r="X48" i="3"/>
  <c r="W48" i="3"/>
  <c r="V48" i="3"/>
  <c r="U48" i="3"/>
  <c r="T48" i="3"/>
  <c r="S48" i="3"/>
  <c r="R48" i="3"/>
  <c r="Q48" i="3"/>
  <c r="P48" i="3"/>
  <c r="O48" i="3"/>
  <c r="N48" i="3"/>
  <c r="M48" i="3"/>
  <c r="L48" i="3"/>
  <c r="K48" i="3"/>
  <c r="J48" i="3"/>
  <c r="I48" i="3"/>
  <c r="H48" i="3"/>
  <c r="G48" i="3"/>
  <c r="F48" i="3"/>
  <c r="E48" i="3"/>
  <c r="D48" i="3"/>
  <c r="C48" i="3"/>
  <c r="B48" i="3"/>
  <c r="Z47" i="3"/>
  <c r="Y47" i="3"/>
  <c r="X47" i="3"/>
  <c r="W47" i="3"/>
  <c r="V47" i="3"/>
  <c r="U47" i="3"/>
  <c r="T47" i="3"/>
  <c r="S47" i="3"/>
  <c r="R47" i="3"/>
  <c r="Q47" i="3"/>
  <c r="P47" i="3"/>
  <c r="O47" i="3"/>
  <c r="N47" i="3"/>
  <c r="M47" i="3"/>
  <c r="L47" i="3"/>
  <c r="K47" i="3"/>
  <c r="J47" i="3"/>
  <c r="I47" i="3"/>
  <c r="H47" i="3"/>
  <c r="G47" i="3"/>
  <c r="F47" i="3"/>
  <c r="E47" i="3"/>
  <c r="D47" i="3"/>
  <c r="C47" i="3"/>
  <c r="B47" i="3"/>
  <c r="Z46" i="3"/>
  <c r="Y46" i="3"/>
  <c r="X46" i="3"/>
  <c r="W46" i="3"/>
  <c r="V46" i="3"/>
  <c r="U46" i="3"/>
  <c r="T46" i="3"/>
  <c r="S46" i="3"/>
  <c r="R46" i="3"/>
  <c r="Q46" i="3"/>
  <c r="P46" i="3"/>
  <c r="O46" i="3"/>
  <c r="N46" i="3"/>
  <c r="M46" i="3"/>
  <c r="L46" i="3"/>
  <c r="K46" i="3"/>
  <c r="J46" i="3"/>
  <c r="I46" i="3"/>
  <c r="H46" i="3"/>
  <c r="G46" i="3"/>
  <c r="F46" i="3"/>
  <c r="E46" i="3"/>
  <c r="D46" i="3"/>
  <c r="C46" i="3"/>
  <c r="B46" i="3"/>
  <c r="Z45" i="3"/>
  <c r="Y45" i="3"/>
  <c r="X45" i="3"/>
  <c r="W45" i="3"/>
  <c r="V45" i="3"/>
  <c r="U45" i="3"/>
  <c r="T45" i="3"/>
  <c r="S45" i="3"/>
  <c r="R45" i="3"/>
  <c r="Q45" i="3"/>
  <c r="P45" i="3"/>
  <c r="O45" i="3"/>
  <c r="N45" i="3"/>
  <c r="M45" i="3"/>
  <c r="L45" i="3"/>
  <c r="K45" i="3"/>
  <c r="J45" i="3"/>
  <c r="I45" i="3"/>
  <c r="H45" i="3"/>
  <c r="G45" i="3"/>
  <c r="F45" i="3"/>
  <c r="E45" i="3"/>
  <c r="D45" i="3"/>
  <c r="C45" i="3"/>
  <c r="B45" i="3"/>
  <c r="Z44" i="3"/>
  <c r="Y44" i="3"/>
  <c r="X44" i="3"/>
  <c r="W44" i="3"/>
  <c r="V44" i="3"/>
  <c r="U44" i="3"/>
  <c r="T44" i="3"/>
  <c r="S44" i="3"/>
  <c r="R44" i="3"/>
  <c r="Q44" i="3"/>
  <c r="P44" i="3"/>
  <c r="O44" i="3"/>
  <c r="N44" i="3"/>
  <c r="M44" i="3"/>
  <c r="L44" i="3"/>
  <c r="K44" i="3"/>
  <c r="J44" i="3"/>
  <c r="I44" i="3"/>
  <c r="H44" i="3"/>
  <c r="G44" i="3"/>
  <c r="F44" i="3"/>
  <c r="E44" i="3"/>
  <c r="D44" i="3"/>
  <c r="C44" i="3"/>
  <c r="B44" i="3"/>
  <c r="Z43" i="3"/>
  <c r="Y43" i="3"/>
  <c r="X43" i="3"/>
  <c r="W43" i="3"/>
  <c r="V43" i="3"/>
  <c r="U43" i="3"/>
  <c r="T43" i="3"/>
  <c r="S43" i="3"/>
  <c r="R43" i="3"/>
  <c r="Q43" i="3"/>
  <c r="P43" i="3"/>
  <c r="O43" i="3"/>
  <c r="N43" i="3"/>
  <c r="M43" i="3"/>
  <c r="L43" i="3"/>
  <c r="K43" i="3"/>
  <c r="J43" i="3"/>
  <c r="I43" i="3"/>
  <c r="H43" i="3"/>
  <c r="G43" i="3"/>
  <c r="F43" i="3"/>
  <c r="E43" i="3"/>
  <c r="D43" i="3"/>
  <c r="C43" i="3"/>
  <c r="B43" i="3"/>
  <c r="Z42" i="3"/>
  <c r="Y42" i="3"/>
  <c r="X42" i="3"/>
  <c r="W42" i="3"/>
  <c r="V42" i="3"/>
  <c r="U42" i="3"/>
  <c r="T42" i="3"/>
  <c r="S42" i="3"/>
  <c r="R42" i="3"/>
  <c r="Q42" i="3"/>
  <c r="P42" i="3"/>
  <c r="O42" i="3"/>
  <c r="N42" i="3"/>
  <c r="M42" i="3"/>
  <c r="L42" i="3"/>
  <c r="K42" i="3"/>
  <c r="J42" i="3"/>
  <c r="I42" i="3"/>
  <c r="H42" i="3"/>
  <c r="G42" i="3"/>
  <c r="F42" i="3"/>
  <c r="E42" i="3"/>
  <c r="D42" i="3"/>
  <c r="C42" i="3"/>
  <c r="B42" i="3"/>
  <c r="G30" i="3"/>
  <c r="E30" i="3"/>
  <c r="F30" i="3" s="1"/>
  <c r="D30" i="3"/>
  <c r="G29" i="3"/>
  <c r="E29" i="3"/>
  <c r="F29" i="3" s="1"/>
  <c r="D29" i="3"/>
  <c r="G28" i="3"/>
  <c r="E28" i="3"/>
  <c r="D28" i="3"/>
  <c r="G27" i="3"/>
  <c r="E27" i="3"/>
  <c r="F27" i="3" s="1"/>
  <c r="D27" i="3"/>
  <c r="G26" i="3"/>
  <c r="E26" i="3"/>
  <c r="D26" i="3"/>
  <c r="G25" i="3"/>
  <c r="E25" i="3"/>
  <c r="F25" i="3" s="1"/>
  <c r="D25" i="3"/>
  <c r="G24" i="3"/>
  <c r="E24" i="3"/>
  <c r="D24" i="3"/>
  <c r="G23" i="3"/>
  <c r="E23" i="3"/>
  <c r="F23" i="3" s="1"/>
  <c r="D23" i="3"/>
  <c r="G22" i="3"/>
  <c r="E22" i="3"/>
  <c r="F22" i="3" s="1"/>
  <c r="D22" i="3"/>
  <c r="G21" i="3"/>
  <c r="E21" i="3"/>
  <c r="F21" i="3" s="1"/>
  <c r="D21" i="3"/>
  <c r="G20" i="3"/>
  <c r="E20" i="3"/>
  <c r="D20" i="3"/>
  <c r="G19" i="3"/>
  <c r="E19" i="3"/>
  <c r="F19" i="3" s="1"/>
  <c r="D19" i="3"/>
  <c r="G18" i="3"/>
  <c r="E18" i="3"/>
  <c r="D18" i="3"/>
  <c r="G17" i="3"/>
  <c r="E17" i="3"/>
  <c r="F17" i="3" s="1"/>
  <c r="D17" i="3"/>
  <c r="G16" i="3"/>
  <c r="E16" i="3"/>
  <c r="F16" i="3" s="1"/>
  <c r="D16" i="3"/>
  <c r="G15" i="3"/>
  <c r="E15" i="3"/>
  <c r="F15" i="3" s="1"/>
  <c r="D15" i="3"/>
  <c r="G14" i="3"/>
  <c r="E14" i="3"/>
  <c r="F14" i="3" s="1"/>
  <c r="D14" i="3"/>
  <c r="G13" i="3"/>
  <c r="E13" i="3"/>
  <c r="F13" i="3" s="1"/>
  <c r="D13" i="3"/>
  <c r="G12" i="3"/>
  <c r="E12" i="3"/>
  <c r="F12" i="3" s="1"/>
  <c r="D12" i="3"/>
  <c r="G11" i="3"/>
  <c r="E11" i="3"/>
  <c r="F11" i="3" s="1"/>
  <c r="D11" i="3"/>
  <c r="G10" i="3"/>
  <c r="E10" i="3"/>
  <c r="D10" i="3"/>
  <c r="G9" i="3"/>
  <c r="E9" i="3"/>
  <c r="F9" i="3" s="1"/>
  <c r="D9" i="3"/>
  <c r="G8" i="3"/>
  <c r="E8" i="3"/>
  <c r="F8" i="3" s="1"/>
  <c r="D8" i="3"/>
  <c r="G7" i="3"/>
  <c r="E7" i="3"/>
  <c r="F7" i="3" s="1"/>
  <c r="D7" i="3"/>
  <c r="G6" i="3"/>
  <c r="E6" i="3"/>
  <c r="F6" i="3" s="1"/>
  <c r="D6" i="3"/>
  <c r="F154" i="7" l="1"/>
  <c r="F152" i="7"/>
  <c r="F140" i="7"/>
  <c r="F137" i="7"/>
  <c r="F126" i="7"/>
  <c r="F116" i="7"/>
  <c r="F109" i="7"/>
  <c r="F520" i="7"/>
  <c r="F155" i="7"/>
  <c r="F153" i="7"/>
  <c r="F125" i="7"/>
  <c r="F112" i="7"/>
  <c r="F111" i="7"/>
  <c r="F108" i="7"/>
  <c r="F352" i="7"/>
  <c r="F348" i="7"/>
  <c r="F346" i="7"/>
  <c r="F345" i="7"/>
  <c r="F344" i="7"/>
  <c r="F343" i="7"/>
  <c r="F342" i="7"/>
  <c r="F341" i="7"/>
  <c r="F340" i="7"/>
  <c r="F338" i="7"/>
  <c r="F337" i="7"/>
  <c r="F336" i="7"/>
  <c r="F333" i="7"/>
  <c r="F332" i="7"/>
  <c r="F331" i="7"/>
  <c r="F330" i="7"/>
  <c r="F328" i="7"/>
  <c r="F327" i="7"/>
  <c r="F326" i="7"/>
  <c r="F323" i="7"/>
  <c r="F322" i="7"/>
  <c r="F318" i="7"/>
  <c r="F317" i="7"/>
  <c r="F315" i="7"/>
  <c r="F313" i="7"/>
  <c r="F312" i="7"/>
  <c r="F311" i="7"/>
  <c r="F310" i="7"/>
  <c r="F307" i="7"/>
  <c r="F305" i="7"/>
  <c r="F304" i="7"/>
  <c r="F303" i="7"/>
  <c r="F302" i="7"/>
  <c r="F300" i="7"/>
  <c r="F299" i="7"/>
  <c r="F298" i="7"/>
  <c r="F294" i="7"/>
  <c r="F293" i="7"/>
  <c r="F291" i="7"/>
  <c r="F290" i="7"/>
  <c r="F289" i="7"/>
  <c r="F287" i="7"/>
  <c r="F286" i="7"/>
  <c r="F284" i="7"/>
  <c r="F283" i="7"/>
  <c r="F282" i="7"/>
  <c r="F281" i="7"/>
  <c r="F280" i="7"/>
  <c r="F278" i="7"/>
  <c r="F267" i="7"/>
  <c r="F266" i="7"/>
  <c r="F265" i="7"/>
  <c r="F261" i="7"/>
  <c r="F260" i="7"/>
  <c r="F259" i="7"/>
  <c r="F258" i="7"/>
  <c r="F257" i="7"/>
  <c r="F256" i="7"/>
  <c r="F255" i="7"/>
  <c r="F254" i="7"/>
  <c r="F252" i="7"/>
  <c r="F251" i="7"/>
  <c r="F250" i="7"/>
  <c r="F248" i="7"/>
  <c r="F245" i="7"/>
  <c r="F244" i="7"/>
  <c r="F241" i="7"/>
  <c r="F240" i="7"/>
  <c r="F238" i="7"/>
  <c r="F237" i="7"/>
  <c r="F236" i="7"/>
  <c r="F235" i="7"/>
  <c r="F234" i="7"/>
  <c r="F232" i="7"/>
  <c r="F231" i="7"/>
  <c r="F230" i="7"/>
  <c r="F229" i="7"/>
  <c r="F227" i="7"/>
  <c r="F226" i="7"/>
  <c r="F225" i="7"/>
  <c r="F224" i="7"/>
  <c r="F223" i="7"/>
  <c r="F221" i="7"/>
  <c r="F220" i="7"/>
  <c r="F218" i="7"/>
  <c r="F217" i="7"/>
  <c r="F215" i="7"/>
  <c r="F211" i="7"/>
  <c r="F207" i="7"/>
  <c r="F206" i="7"/>
  <c r="F205" i="7"/>
  <c r="F203" i="7"/>
  <c r="F200" i="7"/>
  <c r="F193" i="7"/>
  <c r="F192" i="7"/>
  <c r="F191" i="7"/>
  <c r="F189" i="7"/>
  <c r="F186" i="7"/>
  <c r="F179" i="7"/>
  <c r="F176" i="7"/>
  <c r="F174" i="7"/>
  <c r="F173" i="7"/>
  <c r="F172" i="7"/>
  <c r="F171" i="7"/>
  <c r="F170" i="7"/>
  <c r="F169" i="7"/>
  <c r="F168" i="7"/>
  <c r="F167" i="7"/>
  <c r="F93" i="7"/>
  <c r="F90" i="7"/>
  <c r="F88" i="7"/>
  <c r="F85" i="7"/>
  <c r="F84" i="7"/>
  <c r="F83" i="7"/>
  <c r="F80" i="7"/>
  <c r="F79" i="7"/>
  <c r="F78" i="7"/>
  <c r="F77" i="7"/>
  <c r="F72" i="7"/>
  <c r="F71" i="7"/>
  <c r="F67" i="7"/>
  <c r="F66" i="7"/>
  <c r="F65" i="7"/>
  <c r="F64" i="7"/>
  <c r="F58" i="7"/>
  <c r="F57" i="7"/>
  <c r="F56" i="7"/>
  <c r="F55" i="7"/>
  <c r="F53" i="7"/>
  <c r="F52" i="7"/>
  <c r="F49" i="7"/>
  <c r="F48" i="7"/>
  <c r="F47" i="7"/>
  <c r="F46" i="7"/>
  <c r="F45" i="7"/>
  <c r="F42" i="7"/>
  <c r="F39" i="7"/>
  <c r="F36" i="7"/>
  <c r="F35" i="7"/>
  <c r="F31" i="7"/>
  <c r="F30" i="7"/>
  <c r="F29" i="7"/>
  <c r="F27" i="7"/>
  <c r="F26" i="7"/>
  <c r="F24" i="7"/>
  <c r="F22" i="7"/>
  <c r="F354" i="7"/>
  <c r="F339" i="7"/>
  <c r="F335" i="7"/>
  <c r="F334" i="7"/>
  <c r="F329" i="7"/>
  <c r="F325" i="7"/>
  <c r="F324" i="7"/>
  <c r="F321" i="7"/>
  <c r="F319" i="7"/>
  <c r="F316" i="7"/>
  <c r="F309" i="7"/>
  <c r="F308" i="7"/>
  <c r="F301" i="7"/>
  <c r="F295" i="7"/>
  <c r="F292" i="7"/>
  <c r="F288" i="7"/>
  <c r="F285" i="7"/>
  <c r="F277" i="7"/>
  <c r="F276" i="7"/>
  <c r="F275" i="7"/>
  <c r="F274" i="7"/>
  <c r="F273" i="7"/>
  <c r="F272" i="7"/>
  <c r="F271" i="7"/>
  <c r="F270" i="7"/>
  <c r="F269" i="7"/>
  <c r="F268" i="7"/>
  <c r="F263" i="7"/>
  <c r="F262" i="7"/>
  <c r="F249" i="7"/>
  <c r="F243" i="7"/>
  <c r="F242" i="7"/>
  <c r="F222" i="7"/>
  <c r="F216" i="7"/>
  <c r="F209" i="7"/>
  <c r="F208" i="7"/>
  <c r="F201" i="7"/>
  <c r="F194" i="7"/>
  <c r="F187" i="7"/>
  <c r="F180" i="7"/>
  <c r="F166" i="7"/>
  <c r="F164" i="7"/>
  <c r="F156" i="7"/>
  <c r="F147" i="7"/>
  <c r="F142" i="7"/>
  <c r="F139" i="7"/>
  <c r="F135" i="7"/>
  <c r="F127" i="7"/>
  <c r="F119" i="7"/>
  <c r="F118" i="7"/>
  <c r="F105" i="7"/>
  <c r="F102" i="7"/>
  <c r="F101" i="7"/>
  <c r="F100" i="7"/>
  <c r="F91" i="7"/>
  <c r="F82" i="7"/>
  <c r="F81" i="7"/>
  <c r="F74" i="7"/>
  <c r="F68" i="7"/>
  <c r="F43" i="7"/>
  <c r="F40" i="7"/>
  <c r="F37" i="7"/>
  <c r="F33" i="7"/>
  <c r="F25" i="7"/>
  <c r="F19" i="7"/>
  <c r="F18" i="7"/>
  <c r="F17" i="7"/>
  <c r="F16" i="7"/>
  <c r="F15" i="7"/>
  <c r="F14" i="7"/>
  <c r="F13" i="7"/>
  <c r="F12" i="7"/>
  <c r="F11" i="7"/>
  <c r="F10" i="7"/>
  <c r="F9" i="7"/>
  <c r="F8" i="7"/>
  <c r="F24" i="3"/>
  <c r="F603" i="7"/>
  <c r="F602" i="7"/>
  <c r="F601" i="7"/>
  <c r="F600" i="7"/>
  <c r="F599" i="7"/>
  <c r="F598" i="7"/>
  <c r="F597" i="7"/>
  <c r="F596" i="7"/>
  <c r="F595" i="7"/>
  <c r="F594" i="7"/>
  <c r="F593" i="7"/>
  <c r="F592" i="7"/>
  <c r="F591" i="7"/>
  <c r="F590" i="7"/>
  <c r="F589" i="7"/>
  <c r="F588" i="7"/>
  <c r="F587" i="7"/>
  <c r="F586" i="7"/>
  <c r="F585" i="7"/>
  <c r="F584" i="7"/>
  <c r="F583" i="7"/>
  <c r="F582" i="7"/>
  <c r="F581" i="7"/>
  <c r="F580" i="7"/>
  <c r="F579" i="7"/>
  <c r="F578" i="7"/>
  <c r="F577" i="7"/>
  <c r="F576" i="7"/>
  <c r="F575" i="7"/>
  <c r="F574" i="7"/>
  <c r="F573" i="7"/>
  <c r="F572" i="7"/>
  <c r="F571" i="7"/>
  <c r="F570" i="7"/>
  <c r="F569" i="7"/>
  <c r="F568" i="7"/>
  <c r="F567" i="7"/>
  <c r="F566" i="7"/>
  <c r="F565" i="7"/>
  <c r="F564" i="7"/>
  <c r="F563" i="7"/>
  <c r="F562" i="7"/>
  <c r="F561" i="7"/>
  <c r="F560" i="7"/>
  <c r="F559" i="7"/>
  <c r="F558" i="7"/>
  <c r="F557" i="7"/>
  <c r="F556" i="7"/>
  <c r="F555" i="7"/>
  <c r="F554" i="7"/>
  <c r="F553" i="7"/>
  <c r="F552" i="7"/>
  <c r="F551" i="7"/>
  <c r="F550" i="7"/>
  <c r="F549" i="7"/>
  <c r="F548" i="7"/>
  <c r="F547" i="7"/>
  <c r="F546" i="7"/>
  <c r="F545" i="7"/>
  <c r="F544" i="7"/>
  <c r="F543" i="7"/>
  <c r="F542" i="7"/>
  <c r="F541" i="7"/>
  <c r="F540" i="7"/>
  <c r="F539" i="7"/>
  <c r="F538" i="7"/>
  <c r="F537" i="7"/>
  <c r="F536" i="7"/>
  <c r="F535" i="7"/>
  <c r="F534" i="7"/>
  <c r="F533" i="7"/>
  <c r="F532" i="7"/>
  <c r="F531" i="7"/>
  <c r="F530" i="7"/>
  <c r="F529" i="7"/>
  <c r="F528" i="7"/>
  <c r="F527" i="7"/>
  <c r="F526" i="7"/>
  <c r="F525" i="7"/>
  <c r="F524" i="7"/>
  <c r="F523" i="7"/>
  <c r="F522" i="7"/>
  <c r="F521" i="7"/>
  <c r="F519" i="7"/>
  <c r="F518" i="7"/>
  <c r="F517" i="7"/>
  <c r="F516" i="7"/>
  <c r="F515" i="7"/>
  <c r="F514" i="7"/>
  <c r="F513" i="7"/>
  <c r="F512" i="7"/>
  <c r="F511" i="7"/>
  <c r="F510" i="7"/>
  <c r="F509" i="7"/>
  <c r="F508" i="7"/>
  <c r="F507" i="7"/>
  <c r="F506" i="7"/>
  <c r="F505" i="7"/>
  <c r="F504" i="7"/>
  <c r="F503" i="7"/>
  <c r="F502" i="7"/>
  <c r="F501" i="7"/>
  <c r="F500" i="7"/>
  <c r="F499" i="7"/>
  <c r="F498" i="7"/>
  <c r="F497" i="7"/>
  <c r="F496" i="7"/>
  <c r="F495" i="7"/>
  <c r="F494" i="7"/>
  <c r="F493" i="7"/>
  <c r="F492" i="7"/>
  <c r="F491" i="7"/>
  <c r="F490" i="7"/>
  <c r="F489" i="7"/>
  <c r="F488" i="7"/>
  <c r="F487" i="7"/>
  <c r="F486" i="7"/>
  <c r="F485" i="7"/>
  <c r="F484" i="7"/>
  <c r="F483" i="7"/>
  <c r="F482" i="7"/>
  <c r="F481" i="7"/>
  <c r="F480" i="7"/>
  <c r="F479" i="7"/>
  <c r="F478" i="7"/>
  <c r="F477" i="7"/>
  <c r="F476" i="7"/>
  <c r="F475" i="7"/>
  <c r="F474" i="7"/>
  <c r="F473" i="7"/>
  <c r="F472" i="7"/>
  <c r="F471" i="7"/>
  <c r="F470" i="7"/>
  <c r="F469" i="7"/>
  <c r="F468" i="7"/>
  <c r="F467" i="7"/>
  <c r="F466" i="7"/>
  <c r="F465" i="7"/>
  <c r="F464" i="7"/>
  <c r="F463" i="7"/>
  <c r="F462" i="7"/>
  <c r="F461" i="7"/>
  <c r="F460" i="7"/>
  <c r="F459" i="7"/>
  <c r="F458" i="7"/>
  <c r="F457" i="7"/>
  <c r="F456" i="7"/>
  <c r="F455" i="7"/>
  <c r="F454" i="7"/>
  <c r="F453" i="7"/>
  <c r="F452" i="7"/>
  <c r="F451" i="7"/>
  <c r="F450" i="7"/>
  <c r="F449" i="7"/>
  <c r="F448" i="7"/>
  <c r="F447" i="7"/>
  <c r="F446" i="7"/>
  <c r="F445" i="7"/>
  <c r="F444" i="7"/>
  <c r="F443" i="7"/>
  <c r="F442" i="7"/>
  <c r="F441" i="7"/>
  <c r="F440" i="7"/>
  <c r="F439" i="7"/>
  <c r="F438" i="7"/>
  <c r="F437" i="7"/>
  <c r="F436" i="7"/>
  <c r="F435" i="7"/>
  <c r="F434" i="7"/>
  <c r="F433" i="7"/>
  <c r="F432" i="7"/>
  <c r="F431" i="7"/>
  <c r="F430" i="7"/>
  <c r="F429" i="7"/>
  <c r="F428" i="7"/>
  <c r="F427" i="7"/>
  <c r="F426" i="7"/>
  <c r="F425" i="7"/>
  <c r="F424" i="7"/>
  <c r="F423" i="7"/>
  <c r="F422" i="7"/>
  <c r="F421" i="7"/>
  <c r="F420" i="7"/>
  <c r="F419" i="7"/>
  <c r="F418" i="7"/>
  <c r="F417" i="7"/>
  <c r="F416" i="7"/>
  <c r="F415" i="7"/>
  <c r="F414" i="7"/>
  <c r="F413" i="7"/>
  <c r="F412" i="7"/>
  <c r="F411" i="7"/>
  <c r="F410" i="7"/>
  <c r="F409" i="7"/>
  <c r="F408" i="7"/>
  <c r="F407" i="7"/>
  <c r="F406" i="7"/>
  <c r="F405" i="7"/>
  <c r="F404" i="7"/>
  <c r="F403" i="7"/>
  <c r="F402" i="7"/>
  <c r="F401" i="7"/>
  <c r="F400" i="7"/>
  <c r="F399" i="7"/>
  <c r="F398" i="7"/>
  <c r="F397" i="7"/>
  <c r="F396" i="7"/>
  <c r="F395" i="7"/>
  <c r="F394" i="7"/>
  <c r="F393" i="7"/>
  <c r="F392" i="7"/>
  <c r="F391" i="7"/>
  <c r="F390" i="7"/>
  <c r="F389" i="7"/>
  <c r="F388" i="7"/>
  <c r="F387" i="7"/>
  <c r="F386" i="7"/>
  <c r="F385" i="7"/>
  <c r="F384" i="7"/>
  <c r="F383" i="7"/>
  <c r="F382" i="7"/>
  <c r="F381" i="7"/>
  <c r="F380" i="7"/>
  <c r="F379" i="7"/>
  <c r="F378" i="7"/>
  <c r="F377" i="7"/>
  <c r="F376" i="7"/>
  <c r="F375" i="7"/>
  <c r="F374" i="7"/>
  <c r="F373" i="7"/>
  <c r="F372" i="7"/>
  <c r="F371" i="7"/>
  <c r="F370" i="7"/>
  <c r="F369" i="7"/>
  <c r="F368" i="7"/>
  <c r="F367" i="7"/>
  <c r="F366" i="7"/>
  <c r="F365" i="7"/>
  <c r="F364" i="7"/>
  <c r="F363" i="7"/>
  <c r="F362" i="7"/>
  <c r="F361" i="7"/>
  <c r="F360" i="7"/>
  <c r="F359" i="7"/>
  <c r="F358" i="7"/>
  <c r="F357" i="7"/>
  <c r="F356" i="7"/>
  <c r="F355" i="7"/>
  <c r="F353" i="7"/>
  <c r="F351" i="7"/>
  <c r="F350" i="7"/>
  <c r="F349" i="7"/>
  <c r="F347" i="7"/>
  <c r="F320" i="7"/>
  <c r="F314" i="7"/>
  <c r="F306" i="7"/>
  <c r="F297" i="7"/>
  <c r="F296" i="7"/>
  <c r="F279" i="7"/>
  <c r="F264" i="7"/>
  <c r="F253" i="7"/>
  <c r="F247" i="7"/>
  <c r="F246" i="7"/>
  <c r="F239" i="7"/>
  <c r="F233" i="7"/>
  <c r="F228" i="7"/>
  <c r="F219" i="7"/>
  <c r="F214" i="7"/>
  <c r="F213" i="7"/>
  <c r="F212" i="7"/>
  <c r="F210" i="7"/>
  <c r="F204" i="7"/>
  <c r="F202" i="7"/>
  <c r="F199" i="7"/>
  <c r="F198" i="7"/>
  <c r="F197" i="7"/>
  <c r="F196" i="7"/>
  <c r="F195" i="7"/>
  <c r="F190" i="7"/>
  <c r="F188" i="7"/>
  <c r="F185" i="7"/>
  <c r="F184" i="7"/>
  <c r="F183" i="7"/>
  <c r="F182" i="7"/>
  <c r="F181" i="7"/>
  <c r="F178" i="7"/>
  <c r="F177" i="7"/>
  <c r="F175" i="7"/>
  <c r="F165" i="7"/>
  <c r="F163" i="7"/>
  <c r="F160" i="7"/>
  <c r="F158" i="7"/>
  <c r="F157" i="7"/>
  <c r="F151" i="7"/>
  <c r="F149" i="7"/>
  <c r="F148" i="7"/>
  <c r="F144" i="7"/>
  <c r="F143" i="7"/>
  <c r="F141" i="7"/>
  <c r="F133" i="7"/>
  <c r="F132" i="7"/>
  <c r="F123" i="7"/>
  <c r="F122" i="7"/>
  <c r="F121" i="7"/>
  <c r="F120" i="7"/>
  <c r="F117" i="7"/>
  <c r="F114" i="7"/>
  <c r="F110" i="7"/>
  <c r="F107" i="7"/>
  <c r="F106" i="7"/>
  <c r="F104" i="7"/>
  <c r="F103" i="7"/>
  <c r="F95" i="7"/>
  <c r="F94" i="7"/>
  <c r="F92" i="7"/>
  <c r="F89" i="7"/>
  <c r="F87" i="7"/>
  <c r="F86" i="7"/>
  <c r="F76" i="7"/>
  <c r="F75" i="7"/>
  <c r="F73" i="7"/>
  <c r="F70" i="7"/>
  <c r="F69" i="7"/>
  <c r="F63" i="7"/>
  <c r="F62" i="7"/>
  <c r="F61" i="7"/>
  <c r="F60" i="7"/>
  <c r="F59" i="7"/>
  <c r="F54" i="7"/>
  <c r="F51" i="7"/>
  <c r="F50" i="7"/>
  <c r="F44" i="7"/>
  <c r="F41" i="7"/>
  <c r="F38" i="7"/>
  <c r="F34" i="7"/>
  <c r="F32" i="7"/>
  <c r="F28" i="7"/>
  <c r="F23" i="7"/>
  <c r="F21" i="7"/>
  <c r="F20" i="7"/>
  <c r="F7" i="7"/>
  <c r="F30" i="5"/>
  <c r="F29" i="5"/>
  <c r="F28" i="5"/>
  <c r="F27" i="5"/>
  <c r="F26" i="5"/>
  <c r="F25" i="5"/>
  <c r="F24" i="5"/>
  <c r="F23" i="5"/>
  <c r="F22" i="5"/>
  <c r="F21" i="5"/>
  <c r="F20" i="5"/>
  <c r="F19" i="5"/>
  <c r="F18" i="5"/>
  <c r="F17" i="5"/>
  <c r="F16" i="5"/>
  <c r="F15" i="5"/>
  <c r="F14" i="5"/>
  <c r="F13" i="5"/>
  <c r="F12" i="5"/>
  <c r="F11" i="5"/>
  <c r="F10" i="5"/>
  <c r="F9" i="5"/>
  <c r="F8" i="5"/>
  <c r="F7" i="5"/>
  <c r="F6" i="5"/>
  <c r="F28" i="3"/>
  <c r="F26" i="3"/>
  <c r="F18" i="3"/>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30" i="2"/>
  <c r="F29" i="2"/>
  <c r="F28" i="2"/>
  <c r="F27" i="2"/>
  <c r="F26" i="2"/>
  <c r="F25" i="2"/>
  <c r="F24" i="2"/>
  <c r="F23" i="2"/>
  <c r="F22" i="2"/>
  <c r="F21" i="2"/>
  <c r="F20" i="2"/>
  <c r="F19" i="2"/>
  <c r="F18" i="2"/>
  <c r="F17" i="2"/>
  <c r="F16" i="2"/>
  <c r="F15" i="2"/>
  <c r="F14" i="2"/>
  <c r="F13" i="2"/>
  <c r="F12" i="2"/>
  <c r="F11" i="2"/>
  <c r="F10" i="2"/>
  <c r="F9" i="2"/>
  <c r="F8" i="2"/>
  <c r="F7" i="2"/>
  <c r="F6" i="2"/>
  <c r="F20" i="3"/>
  <c r="F10" i="3"/>
  <c r="B19" i="9"/>
  <c r="B20" i="9"/>
  <c r="H652" i="7"/>
  <c r="H675" i="7"/>
  <c r="H616" i="7"/>
  <c r="H659" i="7"/>
  <c r="H627" i="7"/>
  <c r="H674" i="7"/>
  <c r="H667" i="7"/>
  <c r="H653" i="7"/>
  <c r="H655" i="7"/>
  <c r="H673" i="7"/>
  <c r="H625" i="7"/>
  <c r="H666" i="7"/>
  <c r="H623" i="7"/>
  <c r="H672" i="7"/>
  <c r="H622" i="7"/>
  <c r="H658" i="7"/>
  <c r="H663" i="7"/>
  <c r="H671" i="7"/>
  <c r="H660" i="7"/>
  <c r="H661" i="7"/>
  <c r="H626" i="7"/>
  <c r="H670" i="7"/>
  <c r="H665" i="7"/>
  <c r="H611" i="7"/>
  <c r="H624" i="7"/>
  <c r="H669" i="7"/>
  <c r="H656" i="7"/>
  <c r="H662" i="7"/>
  <c r="H657" i="7"/>
  <c r="H668" i="7"/>
  <c r="H664" i="7"/>
  <c r="H654" i="7"/>
  <c r="H615" i="7"/>
  <c r="H651" i="7"/>
  <c r="H621" i="7"/>
  <c r="H650" i="7"/>
  <c r="H649" i="7"/>
  <c r="H608" i="7"/>
  <c r="H609" i="7"/>
  <c r="H610" i="7"/>
  <c r="H612" i="7"/>
  <c r="H643" i="7"/>
  <c r="H620" i="7"/>
  <c r="H642" i="7"/>
  <c r="H641" i="7"/>
  <c r="H640" i="7"/>
  <c r="H639" i="7"/>
  <c r="H619" i="7"/>
  <c r="H638" i="7"/>
  <c r="H637" i="7"/>
  <c r="H636" i="7"/>
  <c r="H613" i="7"/>
  <c r="H635" i="7"/>
  <c r="H618" i="7"/>
  <c r="H634" i="7"/>
  <c r="H633" i="7"/>
  <c r="H632" i="7"/>
  <c r="H614" i="7"/>
  <c r="H631" i="7"/>
  <c r="H617" i="7"/>
  <c r="H630" i="7"/>
  <c r="H629" i="7"/>
  <c r="H628" i="7"/>
  <c r="H607" i="7"/>
  <c r="G676" i="7"/>
  <c r="G675" i="7"/>
  <c r="G674" i="7"/>
  <c r="G651" i="7"/>
  <c r="G659" i="7"/>
  <c r="G627" i="7"/>
  <c r="G650" i="7"/>
  <c r="G621" i="7"/>
  <c r="G673" i="7"/>
  <c r="G649" i="7"/>
  <c r="G608" i="7"/>
  <c r="G654" i="7"/>
  <c r="G609" i="7"/>
  <c r="G614" i="7"/>
  <c r="G610" i="7"/>
  <c r="G671" i="7"/>
  <c r="G611" i="7"/>
  <c r="G612" i="7"/>
  <c r="G658" i="7"/>
  <c r="G615" i="7"/>
  <c r="G670" i="7"/>
  <c r="G643" i="7"/>
  <c r="G626" i="7"/>
  <c r="G669" i="7"/>
  <c r="G642" i="7"/>
  <c r="G620" i="7"/>
  <c r="G623" i="7"/>
  <c r="G641" i="7"/>
  <c r="G668" i="7"/>
  <c r="G640" i="7"/>
  <c r="G657" i="7"/>
  <c r="G639" i="7"/>
  <c r="G667" i="7"/>
  <c r="G652" i="7"/>
  <c r="G638" i="7"/>
  <c r="G619" i="7"/>
  <c r="G666" i="7"/>
  <c r="G637" i="7"/>
  <c r="G622" i="7"/>
  <c r="G636" i="7"/>
  <c r="G625" i="7"/>
  <c r="G665" i="7"/>
  <c r="G635" i="7"/>
  <c r="G656" i="7"/>
  <c r="G664" i="7"/>
  <c r="G634" i="7"/>
  <c r="G618" i="7"/>
  <c r="G616" i="7"/>
  <c r="G633" i="7"/>
  <c r="G663" i="7"/>
  <c r="G632" i="7"/>
  <c r="G653" i="7"/>
  <c r="G662" i="7"/>
  <c r="G631" i="7"/>
  <c r="G624" i="7"/>
  <c r="G661" i="7"/>
  <c r="G630" i="7"/>
  <c r="G617" i="7"/>
  <c r="G655" i="7"/>
  <c r="G629" i="7"/>
  <c r="G613" i="7"/>
  <c r="G660" i="7"/>
  <c r="G628" i="7"/>
  <c r="G672" i="7"/>
  <c r="G607" i="7"/>
  <c r="E657" i="7"/>
  <c r="E623" i="7"/>
  <c r="E642" i="7"/>
  <c r="E656" i="7"/>
  <c r="E614" i="7"/>
  <c r="E655" i="7"/>
  <c r="E641" i="7"/>
  <c r="E620" i="7"/>
  <c r="E654" i="7"/>
  <c r="E653" i="7"/>
  <c r="E640" i="7"/>
  <c r="E615" i="7"/>
  <c r="E622" i="7"/>
  <c r="E658" i="7"/>
  <c r="E639" i="7"/>
  <c r="E675" i="7"/>
  <c r="E674" i="7"/>
  <c r="E673" i="7"/>
  <c r="E638" i="7"/>
  <c r="E651" i="7"/>
  <c r="E627" i="7"/>
  <c r="E672" i="7"/>
  <c r="E637" i="7"/>
  <c r="E619" i="7"/>
  <c r="E671" i="7"/>
  <c r="E650" i="7"/>
  <c r="E636" i="7"/>
  <c r="E670" i="7"/>
  <c r="E669" i="7"/>
  <c r="E626" i="7"/>
  <c r="E635" i="7"/>
  <c r="E649" i="7"/>
  <c r="E621" i="7"/>
  <c r="E668" i="7"/>
  <c r="E634" i="7"/>
  <c r="E667" i="7"/>
  <c r="E609" i="7"/>
  <c r="E666" i="7"/>
  <c r="E633" i="7"/>
  <c r="E618" i="7"/>
  <c r="E665" i="7"/>
  <c r="E610" i="7"/>
  <c r="E632" i="7"/>
  <c r="E625" i="7"/>
  <c r="E664" i="7"/>
  <c r="E611" i="7"/>
  <c r="E631" i="7"/>
  <c r="E663" i="7"/>
  <c r="E652" i="7"/>
  <c r="E612" i="7"/>
  <c r="E630" i="7"/>
  <c r="E662" i="7"/>
  <c r="E661" i="7"/>
  <c r="E624" i="7"/>
  <c r="E629" i="7"/>
  <c r="E613" i="7"/>
  <c r="E660" i="7"/>
  <c r="E616" i="7"/>
  <c r="E628" i="7"/>
  <c r="E617" i="7"/>
  <c r="E608" i="7"/>
  <c r="E643" i="7"/>
  <c r="E659" i="7"/>
  <c r="E607" i="7"/>
  <c r="D671" i="7"/>
  <c r="D670" i="7"/>
  <c r="D669" i="7"/>
  <c r="D668" i="7"/>
  <c r="D667" i="7"/>
  <c r="D666" i="7"/>
  <c r="D665" i="7"/>
  <c r="D664" i="7"/>
  <c r="D663" i="7"/>
  <c r="D662" i="7"/>
  <c r="D661" i="7"/>
  <c r="D660" i="7"/>
  <c r="D659" i="7"/>
  <c r="D658" i="7"/>
  <c r="D657" i="7"/>
  <c r="D656" i="7"/>
  <c r="D655" i="7"/>
  <c r="D654" i="7"/>
  <c r="D653" i="7"/>
  <c r="D652" i="7"/>
  <c r="D651" i="7"/>
  <c r="D650" i="7"/>
  <c r="D649" i="7"/>
  <c r="D613" i="7"/>
  <c r="D643" i="7"/>
  <c r="D642" i="7"/>
  <c r="D641" i="7"/>
  <c r="D640" i="7"/>
  <c r="D639" i="7"/>
  <c r="D638" i="7"/>
  <c r="D637" i="7"/>
  <c r="D636" i="7"/>
  <c r="D635" i="7"/>
  <c r="D634" i="7"/>
  <c r="D633" i="7"/>
  <c r="D632" i="7"/>
  <c r="D631" i="7"/>
  <c r="D630" i="7"/>
  <c r="D628" i="7"/>
  <c r="D627" i="7"/>
  <c r="D626" i="7"/>
  <c r="D625" i="7"/>
  <c r="D624" i="7"/>
  <c r="D623" i="7"/>
  <c r="D622" i="7"/>
  <c r="D621" i="7"/>
  <c r="D620" i="7"/>
  <c r="D619" i="7"/>
  <c r="D618" i="7"/>
  <c r="D617" i="7"/>
  <c r="D616" i="7"/>
  <c r="D615" i="7"/>
  <c r="D614" i="7"/>
  <c r="D629" i="7"/>
  <c r="D612" i="7"/>
  <c r="D611" i="7"/>
  <c r="D610" i="7"/>
  <c r="D609" i="7"/>
  <c r="D675" i="7"/>
  <c r="D608" i="7"/>
  <c r="D674" i="7"/>
  <c r="D673" i="7"/>
  <c r="D672" i="7"/>
  <c r="D607" i="7"/>
  <c r="F640" i="7"/>
  <c r="F641" i="7"/>
  <c r="F642" i="7"/>
  <c r="F643" i="7"/>
  <c r="F644" i="7"/>
  <c r="F645" i="7"/>
  <c r="F646" i="7"/>
  <c r="F647" i="7"/>
  <c r="F648" i="7"/>
  <c r="F649" i="7"/>
  <c r="F650" i="7"/>
  <c r="F651" i="7"/>
  <c r="F652" i="7"/>
  <c r="F653" i="7"/>
  <c r="F654" i="7"/>
  <c r="F655" i="7"/>
  <c r="F656" i="7"/>
  <c r="F657" i="7"/>
  <c r="F658" i="7"/>
  <c r="F659" i="7"/>
  <c r="F660" i="7"/>
  <c r="F661" i="7"/>
  <c r="F662" i="7"/>
  <c r="F663" i="7"/>
  <c r="F664" i="7"/>
  <c r="F665" i="7"/>
  <c r="F666" i="7"/>
  <c r="F667" i="7"/>
  <c r="F668" i="7"/>
  <c r="F669" i="7"/>
  <c r="F670" i="7"/>
  <c r="F671" i="7"/>
  <c r="F672" i="7"/>
  <c r="F673" i="7"/>
  <c r="F674" i="7"/>
  <c r="F675" i="7"/>
  <c r="F607" i="7" l="1"/>
  <c r="F608" i="7"/>
  <c r="F609" i="7"/>
  <c r="F610" i="7"/>
  <c r="F611" i="7"/>
  <c r="F612" i="7"/>
  <c r="F613" i="7"/>
  <c r="F614" i="7"/>
  <c r="F615" i="7"/>
  <c r="F616" i="7"/>
  <c r="F617" i="7"/>
  <c r="F618" i="7"/>
  <c r="F619" i="7"/>
  <c r="F620" i="7"/>
  <c r="F621" i="7"/>
  <c r="F622" i="7"/>
  <c r="F623" i="7"/>
  <c r="F624" i="7"/>
  <c r="F625" i="7"/>
  <c r="F626" i="7"/>
  <c r="F627" i="7"/>
  <c r="F628" i="7"/>
  <c r="F629" i="7"/>
  <c r="F630" i="7"/>
  <c r="F631" i="7"/>
  <c r="F632" i="7"/>
  <c r="F633" i="7"/>
  <c r="F634" i="7"/>
  <c r="F635" i="7"/>
  <c r="F636" i="7"/>
  <c r="F637" i="7"/>
  <c r="F638" i="7"/>
  <c r="F63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Verification</author>
  </authors>
  <commentList>
    <comment ref="I11" authorId="0" shapeId="0" xr:uid="{00000000-0006-0000-0600-000001000000}">
      <text>
        <r>
          <rPr>
            <sz val="11"/>
            <color theme="1"/>
            <rFont val="Calibri"/>
            <family val="2"/>
            <scheme val="minor"/>
          </rPr>
          <t>Override: Spokane ME 2018 Annual Report (93 deaths / 513,502 pop). Replaces NCHS model estimate (24.7) which over-stated by 36%.</t>
        </r>
      </text>
    </comment>
    <comment ref="J11" authorId="0" shapeId="0" xr:uid="{00000000-0006-0000-0600-000002000000}">
      <text>
        <r>
          <rPr>
            <sz val="11"/>
            <color theme="1"/>
            <rFont val="Calibri"/>
            <family val="2"/>
            <scheme val="minor"/>
          </rPr>
          <t>Override: Spokane ME published figure (88 deaths CY 2019 / 522,231 pop). Replaces NCHS model estimate (25.8) which over-stated by 53%.</t>
        </r>
      </text>
    </comment>
  </commentList>
</comments>
</file>

<file path=xl/sharedStrings.xml><?xml version="1.0" encoding="utf-8"?>
<sst xmlns="http://schemas.openxmlformats.org/spreadsheetml/2006/main" count="5139" uniqueCount="990">
  <si>
    <t>Top 25 U.S. Counties &amp; County-Equivalents (Pop &gt;300K) by Overdose Death Rate</t>
  </si>
  <si>
    <t>12-month-ending September 2025. Higher threshold excludes small-jurisdiction noise. Universe: 244 (236 unsuppressed). Spokane ranks #2 — only Baltimore city is higher.</t>
  </si>
  <si>
    <t>Spokane in yellow.  Other Washington state counties in green.</t>
  </si>
  <si>
    <t>Rank</t>
  </si>
  <si>
    <t>County</t>
  </si>
  <si>
    <t>State</t>
  </si>
  <si>
    <t>2024 Population</t>
  </si>
  <si>
    <t>Overdose Deaths
(12-mo end Sep 2025)</t>
  </si>
  <si>
    <t>Rate per 100,000</t>
  </si>
  <si>
    <t>% Pending</t>
  </si>
  <si>
    <t>Baltimore city</t>
  </si>
  <si>
    <t>Maryland</t>
  </si>
  <si>
    <t>Spokane County</t>
  </si>
  <si>
    <t>Washington</t>
  </si>
  <si>
    <t>San Francisco County</t>
  </si>
  <si>
    <t>California</t>
  </si>
  <si>
    <t>El Paso County</t>
  </si>
  <si>
    <t>Colorado</t>
  </si>
  <si>
    <t>Philadelphia County</t>
  </si>
  <si>
    <t>Pennsylvania</t>
  </si>
  <si>
    <t>Multnomah County</t>
  </si>
  <si>
    <t>Oregon</t>
  </si>
  <si>
    <t>Denver County</t>
  </si>
  <si>
    <t>Orleans Parish</t>
  </si>
  <si>
    <t>Louisiana</t>
  </si>
  <si>
    <t>Pierce County</t>
  </si>
  <si>
    <t>Knox County</t>
  </si>
  <si>
    <t>Tennessee</t>
  </si>
  <si>
    <t>Bernalillo County</t>
  </si>
  <si>
    <t>New Mexico</t>
  </si>
  <si>
    <t>Davidson County</t>
  </si>
  <si>
    <t>Bronx County</t>
  </si>
  <si>
    <t>New York</t>
  </si>
  <si>
    <t>King County</t>
  </si>
  <si>
    <t>Marion County</t>
  </si>
  <si>
    <t>Indiana</t>
  </si>
  <si>
    <t>District of Columbia</t>
  </si>
  <si>
    <t>Milwaukee County</t>
  </si>
  <si>
    <t>Wisconsin</t>
  </si>
  <si>
    <t>Thurston County</t>
  </si>
  <si>
    <t>Jefferson County</t>
  </si>
  <si>
    <t>Kentucky</t>
  </si>
  <si>
    <t>Pima County</t>
  </si>
  <si>
    <t>Arizona</t>
  </si>
  <si>
    <t>Washoe County</t>
  </si>
  <si>
    <t>Nevada</t>
  </si>
  <si>
    <t>New Castle County</t>
  </si>
  <si>
    <t>Delaware</t>
  </si>
  <si>
    <t>Shelby County</t>
  </si>
  <si>
    <t>Escambia County</t>
  </si>
  <si>
    <t>Florida</t>
  </si>
  <si>
    <t>Snohomish County</t>
  </si>
  <si>
    <t>INTERACTIVE TREND CHART</t>
  </si>
  <si>
    <t>Toggle TRUE/FALSE in row 39 to show/hide each jurisdiction. Spokane extends to Dec 2025 using local coroner data; all other counties end Sep 2025.</t>
  </si>
  <si>
    <t>Show on chart?</t>
  </si>
  <si>
    <t>Period Ending</t>
  </si>
  <si>
    <t>Baltimore (city), MD</t>
  </si>
  <si>
    <t>Spokane, WA</t>
  </si>
  <si>
    <t>San Francisco, CA</t>
  </si>
  <si>
    <t>El Paso, CO</t>
  </si>
  <si>
    <t>Philadelphia, PA</t>
  </si>
  <si>
    <t>Multnomah, OR</t>
  </si>
  <si>
    <t>Denver, CO</t>
  </si>
  <si>
    <t>Orleans, LA</t>
  </si>
  <si>
    <t>Pierce, WA</t>
  </si>
  <si>
    <t>Knox, TN</t>
  </si>
  <si>
    <t>Bernalillo, NM</t>
  </si>
  <si>
    <t>Davidson, TN</t>
  </si>
  <si>
    <t>Bronx, NY</t>
  </si>
  <si>
    <t>King, WA</t>
  </si>
  <si>
    <t>Marion, IN</t>
  </si>
  <si>
    <t>District of Columbia, DC</t>
  </si>
  <si>
    <t>Milwaukee, WI</t>
  </si>
  <si>
    <t>Thurston, WA</t>
  </si>
  <si>
    <t>Jefferson, KY</t>
  </si>
  <si>
    <t>Pima, AZ</t>
  </si>
  <si>
    <t>Washoe, NV</t>
  </si>
  <si>
    <t>New Castle, DE</t>
  </si>
  <si>
    <t>Shelby, TN</t>
  </si>
  <si>
    <t>Escambia, FL</t>
  </si>
  <si>
    <t>Snohomish, WA</t>
  </si>
  <si>
    <t>Jan 2020</t>
  </si>
  <si>
    <t>Feb 2020</t>
  </si>
  <si>
    <t>Mar 2020</t>
  </si>
  <si>
    <t>Apr 2020</t>
  </si>
  <si>
    <t>May 2020</t>
  </si>
  <si>
    <t>Jun 2020</t>
  </si>
  <si>
    <t>Jul 2020</t>
  </si>
  <si>
    <t>Aug 2020</t>
  </si>
  <si>
    <t>Sep 2020</t>
  </si>
  <si>
    <t>Oct 2020</t>
  </si>
  <si>
    <t>Nov 2020</t>
  </si>
  <si>
    <t>Dec 2020</t>
  </si>
  <si>
    <t>Jan 2021</t>
  </si>
  <si>
    <t>Feb 2021</t>
  </si>
  <si>
    <t>Mar 2021</t>
  </si>
  <si>
    <t>Apr 2021</t>
  </si>
  <si>
    <t>May 2021</t>
  </si>
  <si>
    <t>Jun 2021</t>
  </si>
  <si>
    <t>Jul 2021</t>
  </si>
  <si>
    <t>Aug 2021</t>
  </si>
  <si>
    <t>Sep 2021</t>
  </si>
  <si>
    <t>Oct 2021</t>
  </si>
  <si>
    <t>Nov 2021</t>
  </si>
  <si>
    <t>Dec 2021</t>
  </si>
  <si>
    <t>Jan 2022</t>
  </si>
  <si>
    <t>Feb 2022</t>
  </si>
  <si>
    <t>Mar 2022</t>
  </si>
  <si>
    <t>Apr 2022</t>
  </si>
  <si>
    <t>May 2022</t>
  </si>
  <si>
    <t>Jun 2022</t>
  </si>
  <si>
    <t>Jul 2022</t>
  </si>
  <si>
    <t>Aug 2022</t>
  </si>
  <si>
    <t>Sep 2022</t>
  </si>
  <si>
    <t>Oct 2022</t>
  </si>
  <si>
    <t>Nov 2022</t>
  </si>
  <si>
    <t>Dec 2022</t>
  </si>
  <si>
    <t>Jan 2023</t>
  </si>
  <si>
    <t>Feb 2023</t>
  </si>
  <si>
    <t>Mar 2023</t>
  </si>
  <si>
    <t>Apr 2023</t>
  </si>
  <si>
    <t>May 2023</t>
  </si>
  <si>
    <t>Jun 2023</t>
  </si>
  <si>
    <t>Jul 2023</t>
  </si>
  <si>
    <t>Aug 2023</t>
  </si>
  <si>
    <t>Sep 2023</t>
  </si>
  <si>
    <t>Oct 2023</t>
  </si>
  <si>
    <t>Nov 2023</t>
  </si>
  <si>
    <t>Dec 2023</t>
  </si>
  <si>
    <t>Jan 2024</t>
  </si>
  <si>
    <t>Feb 2024</t>
  </si>
  <si>
    <t>Mar 2024</t>
  </si>
  <si>
    <t>Apr 2024</t>
  </si>
  <si>
    <t>May 2024</t>
  </si>
  <si>
    <t>Jun 2024</t>
  </si>
  <si>
    <t>Jul 2024</t>
  </si>
  <si>
    <t>Aug 2024</t>
  </si>
  <si>
    <t>Sep 2024</t>
  </si>
  <si>
    <t>Oct 2024</t>
  </si>
  <si>
    <t>Nov 2024</t>
  </si>
  <si>
    <t>Dec 2024</t>
  </si>
  <si>
    <t>Jan 2025</t>
  </si>
  <si>
    <t>Feb 2025</t>
  </si>
  <si>
    <t>Mar 2025</t>
  </si>
  <si>
    <t>Apr 2025</t>
  </si>
  <si>
    <t>May 2025</t>
  </si>
  <si>
    <t>Jun 2025</t>
  </si>
  <si>
    <t>Jul 2025</t>
  </si>
  <si>
    <t>Aug 2025</t>
  </si>
  <si>
    <t>Sep 2025</t>
  </si>
  <si>
    <t>Dec 2025</t>
  </si>
  <si>
    <t>Spokane County Overdose Death Rate — National Comparison</t>
  </si>
  <si>
    <t>Counties &amp; County-Equivalents Ranked by Overdose Deaths per 100,000</t>
  </si>
  <si>
    <t>CDC data snapshot: 04/05/2026  |  Latest 12-month-ending period: September 2025</t>
  </si>
  <si>
    <t>KEY FINDINGS</t>
  </si>
  <si>
    <t>Current Spokane ranks</t>
  </si>
  <si>
    <t>Of 356 U.S. counties &amp; county-equivalents with population &gt;200K, Spokane ranks #5 (rate 57.9 per 100K).  Of 244 with population &gt;300K, Spokane ranks #2 — only Baltimore city ranks higher.  Of 621 with population &gt;100K, Spokane ranks #6.  All figures: 12-month period ending September 2025, CDC residence-based.</t>
  </si>
  <si>
    <t>Reconciliation note</t>
  </si>
  <si>
    <t>Earlier Jan 2026 chart listed Spokane as #3. That ranking missed ≥10 qualifying jurisdictions with higher rates. Using the same data and methodology, Spokane should have been #7 then. See 'Reconciliation' tab.</t>
  </si>
  <si>
    <t>Washington footprint</t>
  </si>
  <si>
    <t>Five WA counties make the &gt;200K top 25 (Spokane, Yakima, Pierce, King, Thurston). Nine WA counties make the &gt;100K top 50.</t>
  </si>
  <si>
    <t>PURPOSE</t>
  </si>
  <si>
    <t>Replicates and improves on the Spokane Business Association overdose comparison chart using publicly available CDC and Census data. Reproducible, formula-driven, easy to update each month.</t>
  </si>
  <si>
    <t>UNIVERSE</t>
  </si>
  <si>
    <t>U.S. counties and county-equivalents — counties + independent cities (Baltimore city, St. Louis city, Virginia independent cities, Richmond city), Louisiana parishes, Alaska boroughs/municipalities (Anchorage), and DC.</t>
  </si>
  <si>
    <t>NUMERATOR</t>
  </si>
  <si>
    <t>Provisional drug overdose deaths over the 12-month period ending September 30, 2025, by decedent's county of residence. Source: CDC NCHS Vital Statistics Rapid Release, dataset gb4e-yj24.</t>
  </si>
  <si>
    <t>DENOMINATOR</t>
  </si>
  <si>
    <t>U.S. Census Bureau Population Estimates Program, Vintage 2024 (July 1, 2024 estimate). Table CO-EST2024-ALLDATA.</t>
  </si>
  <si>
    <t>RATE FORMULA</t>
  </si>
  <si>
    <t>(Overdose deaths over 12-mo ending Sep 2025) ÷ (2024 population) × 100,000</t>
  </si>
  <si>
    <t>ICD-10 CODES</t>
  </si>
  <si>
    <t>CDC identifies drug overdose deaths using underlying cause-of-death codes: X40–X44 (unintentional), X60–X64 (suicide), X85 (homicide), Y10–Y14 (undetermined).</t>
  </si>
  <si>
    <t>DATA QUALITY</t>
  </si>
  <si>
    <t>Provisional. Two CDC quality flags tracked: percentage of records 'pending investigation' (lower = better) and a flag for counties with historically lower completeness. Spokane's pending rate is 0.02% — essentially complete.</t>
  </si>
  <si>
    <t>SUPPRESSION</t>
  </si>
  <si>
    <t>CDC suppresses counts of 1-9 per NCHS confidentiality rules. ~10 of 356 counties &gt;200K affected; ~34 of 621 counties &gt;100K affected. Suppressed counties excluded from rankings.</t>
  </si>
  <si>
    <t>UPDATING</t>
  </si>
  <si>
    <t>1) Re-download CDC CSV at https://data.cdc.gov/NCHS/VSRR-Provisional-County-Level-Drug-Overdose-Death-/gb4e-yj24/  2) Re-download Census Vintage estimates if newer.  3) Replace files in this folder.  4) Rankings update via formulas.</t>
  </si>
  <si>
    <t>CORONER UPDATE</t>
  </si>
  <si>
    <t>'Spokane Coroner Update' tab is a template for plugging in fresher Spokane County Medical Examiner figures and computing an annualized rate to compare against the CDC baseline.</t>
  </si>
  <si>
    <t>KEY SOURCES</t>
  </si>
  <si>
    <t>CDC dashboard</t>
  </si>
  <si>
    <t>https://www.cdc.gov/nchs/nvss/vsrr/prov-county-drug-overdose.htm</t>
  </si>
  <si>
    <t>CDC dataset (CSV)</t>
  </si>
  <si>
    <t>https://data.cdc.gov/NCHS/VSRR-Provisional-County-Level-Drug-Overdose-Death-/gb4e-yj24</t>
  </si>
  <si>
    <t>Census population</t>
  </si>
  <si>
    <t>https://www2.census.gov/programs-surveys/popest/datasets/2020-2024/counties/totals/co-est2024-alldata.csv</t>
  </si>
  <si>
    <t>TAB GUIDE</t>
  </si>
  <si>
    <t>Top 25 Ranking</t>
  </si>
  <si>
    <t>Main chart: top 25 counties &gt;200K by rate. Spokane in yellow; other WA counties in green. Bar chart embedded.</t>
  </si>
  <si>
    <t>Top 25 (Pop &gt;300K)</t>
  </si>
  <si>
    <t>Alternate top 25 with a higher &gt;300K threshold. Excludes small jurisdictions where rates can be noisy. Spokane ranks #2 under this filter — only Baltimore city is higher.</t>
  </si>
  <si>
    <t>Top 50 (Pop &gt;100K)</t>
  </si>
  <si>
    <t>Broader top 50 at the &gt;100K threshold. Pulls in smaller rural counties (Appalachia, rural CA, etc.) where the crisis is also severe. Nine Washington state counties appear here.</t>
  </si>
  <si>
    <t>Local Coroner Data</t>
  </si>
  <si>
    <t>Top 25 jurisdictions from the &gt;100K list with each county's coroner/ME website and any locally published figures more current than the CDC's Sept 2025 baseline. Spokane fully populated (CY 2025 preliminary: 344 deaths, rate 61.9/100K). Other counties pending research.</t>
  </si>
  <si>
    <t>Reconciliation</t>
  </si>
  <si>
    <t>Side-by-side comparison of the original Jan 2026 chart's top 25 vs. a recomputed top 25 using the SAME methodology. Shows which 10 jurisdictions the original chart missed.</t>
  </si>
  <si>
    <t>Full Ranking</t>
  </si>
  <si>
    <t>All counties &gt;100K ranked by current rate. ~587 unsuppressed counties shown.</t>
  </si>
  <si>
    <t>Spokane Trend</t>
  </si>
  <si>
    <t>Spokane's 12-month-ending deaths and rate per 100K, every month from Jan 2020 through Sep 2025. Two line charts embedded.</t>
  </si>
  <si>
    <t>Spokane Coroner Update</t>
  </si>
  <si>
    <t>Template for plugging in local coroner figures and computing an updated annualized rate.</t>
  </si>
  <si>
    <t>CDC Source Data</t>
  </si>
  <si>
    <t>Sep 2025 snapshot rows for counties &gt;100K — actual data feeding the formulas.</t>
  </si>
  <si>
    <t>Census Source Data</t>
  </si>
  <si>
    <t>Vintage 2024 population estimates for the same counties.</t>
  </si>
  <si>
    <t>METHODOLOGY: RESIDENCE vs. OCCURRENCE COUNTS</t>
  </si>
  <si>
    <t>(Why local ME figures differ from CDC numbers)</t>
  </si>
  <si>
    <t>Why CDC and ME numbers differ</t>
  </si>
  <si>
    <t>Both sources count the same kind of event (drug overdose death using ICD-10 codes X40-X44, X60-X64, X85, Y10-Y14), but they geographically attribute those deaths differently. The result is that the Spokane County Medical Examiner's annual figure is consistently higher than the CDC's figure for Spokane — about 8-10% higher in recent years.</t>
  </si>
  <si>
    <t>CDC VSRR data is RESIDENCE-BASED</t>
  </si>
  <si>
    <t>The CDC counts a drug overdose death toward the county where the decedent LIVED, regardless of where the death actually occurred. A Spokane County resident who overdoses and dies while visiting Seattle is counted toward Spokane in the CDC data. A Stevens County resident who is transported to a Spokane hospital and dies there is NOT counted toward Spokane in CDC data — they are counted toward Stevens County.</t>
  </si>
  <si>
    <t>Spokane ME is OCCURRENCE-BASED</t>
  </si>
  <si>
    <t>The Spokane County Medical Examiner investigates all reportable deaths that HAPPEN within Spokane County, regardless of decedent residence. Every death the ME investigates appears in the ME's annual figure. So a Stevens County resident transported to a Spokane hospital, who dies there, appears in the ME's count for Spokane.</t>
  </si>
  <si>
    <t>Why this gap matters in Spokane</t>
  </si>
  <si>
    <t>Spokane is a regional hospital hub. Sacred Heart, Deaconess, and Holy Family serve all of Eastern Washington, the Idaho Panhandle, and parts of Montana. Overdose patients from surrounding counties are routinely transported to Spokane hospitals — and a meaningful number do not survive. Those deaths appear in the ME's count for Spokane but in the CDC's count for their home counties. This systematically inflates the ME number relative to the CDC number for Spokane specifically.</t>
  </si>
  <si>
    <t>Recent quantification</t>
  </si>
  <si>
    <t>Calendar year 2024: Spokane ME reported 346 deaths; CDC residence-based reported 316 deaths for 12-mo ending Dec 2024. Gap of 30 deaths (~9.5%). Calendar year 2025 preliminary: Spokane ME reported 344 deaths; CDC reported 322 deaths for 12-mo ending Sep 2025. Gap of 22 deaths (~6.8%, though the periods do not fully align).</t>
  </si>
  <si>
    <t>Other contributing factors (smaller)</t>
  </si>
  <si>
    <t>(a) ME-investigated deaths can include cases where drugs CONTRIBUTED to but were not the underlying cause; CDC counts only deaths with the underlying ICD-10 code in the overdose set. (b) Processing/timing: CDC's provisional file is updated quarterly, ME's annual report is published once per year. (c) Effective January 2025, the Spokane County ME also handles Pend Oreille County death investigations, which will further inflate the ME figure relative to CDC for Spokane starting in CY 2025.</t>
  </si>
  <si>
    <t>Which number to use</t>
  </si>
  <si>
    <t>Both are correct — they answer different questions. Use the Spokane ME number (346 in 2024, 344 in 2025) when speaking about deaths that happened in Spokane County or about the ME's caseload. Use the CDC number (316 in 2024, 322 in 2025) when comparing Spokane to other counties nationally, since the CDC's residence-based methodology is applied consistently across all jurisdictions and is the only apples-to-apples basis for ranking. The 'Top 25 Ranking' tabs in this workbook all use the CDC residence-based number for that reason.</t>
  </si>
  <si>
    <t>Note on the Spokane Trend tab</t>
  </si>
  <si>
    <t>The Spokane Trend tab uses CDC VSRR data exclusively (residence-based) for the full Jan 2020 - Sep 2025 timeline, so the trajectory is methodologically consistent. The 'Spokane Coroner Update' tab is designed for users who want to layer in fresher ME-reported (occurrence-based) figures and see the gap.</t>
  </si>
  <si>
    <t>Top 25 U.S. Counties &amp; County-Equivalents (Pop &gt;200K) by Overdose Death Rate</t>
  </si>
  <si>
    <t>12-month-ending September 2025. Source: CDC NCHS VSRR + Census Vintage 2024. Universe: 356 counties (346 unsuppressed). Spokane ranks #5.</t>
  </si>
  <si>
    <t>St. Louis city</t>
  </si>
  <si>
    <t>Missouri</t>
  </si>
  <si>
    <t>Anchorage Municipality</t>
  </si>
  <si>
    <t>Alaska</t>
  </si>
  <si>
    <t>Butte County</t>
  </si>
  <si>
    <t>Yakima County</t>
  </si>
  <si>
    <t>Mohave County</t>
  </si>
  <si>
    <t>Atlantic County</t>
  </si>
  <si>
    <t>New Jersey</t>
  </si>
  <si>
    <t>Richmond city</t>
  </si>
  <si>
    <t>Virginia</t>
  </si>
  <si>
    <t>St. Louis (city), MO</t>
  </si>
  <si>
    <t>Anchorage Muni, AK</t>
  </si>
  <si>
    <t>Butte, CA</t>
  </si>
  <si>
    <t>Yakima, WA</t>
  </si>
  <si>
    <t>Mohave, AZ</t>
  </si>
  <si>
    <t>Atlantic, NJ</t>
  </si>
  <si>
    <t>Richmond (city), VA</t>
  </si>
  <si>
    <t>Top 50 U.S. Counties &amp; County-Equivalents (Pop &gt;100K) by Overdose Death Rate</t>
  </si>
  <si>
    <t>12-month-ending September 2025. Broader threshold pulls in smaller jurisdictions (rural CA, Appalachia, etc.). Universe: 621 (587 unsuppressed). Spokane ranks #6. Nine Washington counties appear.</t>
  </si>
  <si>
    <t>Santa Fe County</t>
  </si>
  <si>
    <t>Humboldt County</t>
  </si>
  <si>
    <t>Cecil County</t>
  </si>
  <si>
    <t>Kanawha County</t>
  </si>
  <si>
    <t>West Virginia</t>
  </si>
  <si>
    <t>Cowlitz County</t>
  </si>
  <si>
    <t>Pueblo County</t>
  </si>
  <si>
    <t>Jackson County</t>
  </si>
  <si>
    <t>Mississippi</t>
  </si>
  <si>
    <t>Terrebonne Parish</t>
  </si>
  <si>
    <t>Navajo County</t>
  </si>
  <si>
    <t>Madison County</t>
  </si>
  <si>
    <t>Sangamon County</t>
  </si>
  <si>
    <t>Illinois</t>
  </si>
  <si>
    <t>Skagit County</t>
  </si>
  <si>
    <t>Coconino County</t>
  </si>
  <si>
    <t>Kent County</t>
  </si>
  <si>
    <t>Shawnee County</t>
  </si>
  <si>
    <t>Kansas</t>
  </si>
  <si>
    <t>Grant County</t>
  </si>
  <si>
    <t>Whatcom County</t>
  </si>
  <si>
    <t>Sevier County</t>
  </si>
  <si>
    <t>Matanuska-Susitna Borough</t>
  </si>
  <si>
    <t>Toggle TRUE/FALSE in row 63 to show/hide each jurisdiction. Spokane extends to Dec 2025 using local coroner data; all other counties end Sep 2025.</t>
  </si>
  <si>
    <t>Santa Fe, NM</t>
  </si>
  <si>
    <t>Humboldt, CA</t>
  </si>
  <si>
    <t>Cecil, MD</t>
  </si>
  <si>
    <t>Kanawha, WV</t>
  </si>
  <si>
    <t>Cowlitz, WA</t>
  </si>
  <si>
    <t>Pueblo, CO</t>
  </si>
  <si>
    <t>Jackson, MS</t>
  </si>
  <si>
    <t>Terrebonne, LA</t>
  </si>
  <si>
    <t>Navajo, AZ</t>
  </si>
  <si>
    <t>Madison, IN</t>
  </si>
  <si>
    <t>Sangamon, IL</t>
  </si>
  <si>
    <t>Skagit, WA</t>
  </si>
  <si>
    <t>Coconino, AZ</t>
  </si>
  <si>
    <t>Kent, DE</t>
  </si>
  <si>
    <t>Shawnee, KS</t>
  </si>
  <si>
    <t>Grant, WA</t>
  </si>
  <si>
    <t>Whatcom, WA</t>
  </si>
  <si>
    <t>Sevier, TN</t>
  </si>
  <si>
    <t>Matanuska-Susitna Borough, AK</t>
  </si>
  <si>
    <t>Top 25 (Pop &gt;100K) — Local Coroner / Medical Examiner Data Sources</t>
  </si>
  <si>
    <t>For each top-25 county (population &gt;100K), the official coroner/ME website plus any locally published figures more current than the CDC's 12-month-ending September 2025 baseline.</t>
  </si>
  <si>
    <t>STATUS: All 25 counties populated. 9 counties have data more current than the CDC Sept 2025 baseline (deaths shown in yellow). 16 have only older data or no public dashboard — see Notes column for what IS available locally.</t>
  </si>
  <si>
    <t>2024 Pop</t>
  </si>
  <si>
    <t>CDC Deaths
(12-mo end Sep 2025)</t>
  </si>
  <si>
    <t>CDC Rate
per 100K</t>
  </si>
  <si>
    <t>Coroner / ME Website</t>
  </si>
  <si>
    <t>Local Period</t>
  </si>
  <si>
    <t>Local Deaths</t>
  </si>
  <si>
    <t>Local Rate per 100K</t>
  </si>
  <si>
    <t>Source / Notes</t>
  </si>
  <si>
    <t>https://dashboards.mysidewalk.com/baltimorecityoverdose</t>
  </si>
  <si>
    <t>12-mo rolling ending Feb 2026</t>
  </si>
  <si>
    <t>Baltimore City Health Dept 'Overdose Needs Assessment Dashboard'; preliminary, subject to change. Dashboard updated 4/30/2026.</t>
  </si>
  <si>
    <t>https://www.nmhealth.org/news/awareness/2025/9/?view=2275</t>
  </si>
  <si>
    <t>—</t>
  </si>
  <si>
    <t>No public county-level 2025 total. NM DOH alert (Sept 2025) reported +104% YoY for Santa Fe in H1 2025. NM-IBIS county data lags to 2023. State Office of the Medical Investigator (OMI) handles all autopsies: https://hsc.unm.edu/omi/</t>
  </si>
  <si>
    <t>https://www.stlouis-mo.gov/government/departments/health/behavioral-health/data/drug-overdose-fatalities.cfm</t>
  </si>
  <si>
    <t>Best public source: City of St. Louis behavioral health data page (CY 2024 data: -41% H1 YoY, -38% opioid for full year). Starting 2025, city/county data reported jointly as 5-county 'St. Louis Area' rollup by MIMH Addiction Science. No standalone 2025 city total.</t>
  </si>
  <si>
    <t>https://health.alaska.gov/en/division-of-public-health/state-medical-examiner/</t>
  </si>
  <si>
    <t>Alaska State Medical Examiner covers entire state. CY 2024 statewide = 339; Anchorage ≈ 2/3 = ~226. Anchorage-specific 2025 figure not yet published. State ME report released Jan 23, 2026.</t>
  </si>
  <si>
    <t>https://skylab.cdph.ca.gov/ODdash/</t>
  </si>
  <si>
    <t>Butte County Sheriff-Coroner has no public OD dashboard. Best source: CA Dept of Public Health Overdose Surveillance Dashboard (Butte CY 2024 = 115 deaths, -14% vs 2023). No CY 2025 total yet.</t>
  </si>
  <si>
    <t>https://www.spokanecounty.gov/807/Medical-Examiner</t>
  </si>
  <si>
    <t>Calendar Year 2025 (preliminary)</t>
  </si>
  <si>
    <t>Released Feb 2026 by Spokane County Medical Examiner Dr. Veena Singh. Some cases still awaiting toxicology. Methamphetamine surpassed fentanyl as most common drug, first time since 2020. 2024 ME figure: 346 deaths. Also see SRHD overdose page: https://srhd.org/health-topics/injury-violence-safety/opioids-in-spokane-county. Reported by Spokesman-Review 2/26/2026.</t>
  </si>
  <si>
    <t>https://www.sf.gov/data--preliminary-unintentional-drug-overdose-deaths</t>
  </si>
  <si>
    <t>Monthly through April 2026</t>
  </si>
  <si>
    <t>SF Office of the Chief Medical Examiner publishes monthly preliminary report — best near-real-time source in the country. Monthly counts (recent): Dec 2025=36, Jan 2026=53. Annualized recent rate ~ ~530-630/yr. Latest report April 2026.</t>
  </si>
  <si>
    <t>https://coroner.elpasoco.com/annual-coroners-report/</t>
  </si>
  <si>
    <t>El Paso County Coroner publishes annual reports only. CY 2024 = 154 accidental drug deaths (-27% vs 2023). CY 2025 not yet released. Sept 2025 coroner statement flagged carfentanil resurgence.</t>
  </si>
  <si>
    <t>https://www.substanceusephilly.com/</t>
  </si>
  <si>
    <t>Philadelphia Dept of Public Health, Division of Substance Use Prevention &amp; Harm Reduction. Through Dec 23, 2025; projected full-year ~921. Lowest in nearly a decade. Also see: https://philly-stat-360.phila.gov/pages/overdoses</t>
  </si>
  <si>
    <t>https://multco.us/info/death-data</t>
  </si>
  <si>
    <t>Multnomah County ME public dashboard. CY 2024 = 214 total OD (183 fentanyl). Preliminary 2025 shows continued decline (~40% drop in fentanyl deaths over 6 months post-emergency declaration) but no published total yet.</t>
  </si>
  <si>
    <t>https://www.denvergov.org/Government/Agencies-Departments-Offices/Agencies-Departments-Offices-Directory/Public-Health-Environment/Community-Behavioral-Health/Behavioral-Health-Strategies/Overdose-Prevention/Overdose-Data-Dashboard</t>
  </si>
  <si>
    <t>Denver Office of the Medical Examiner preliminary figures, published Jan 2026. +7% YoY (bucking national downward trend); fentanyl +24%.</t>
  </si>
  <si>
    <t>http://neworleanscoroner.com/press-releases/</t>
  </si>
  <si>
    <t>Calendar Year 2025</t>
  </si>
  <si>
    <t>Orleans Parish Coroner Dwight McKenna annual release, March 25, 2026. -11 vs 2024 (293); ~70% involved fentanyl.</t>
  </si>
  <si>
    <t>https://humboldtgov.org/2822/Coroners-Reports</t>
  </si>
  <si>
    <t>Humboldt County Sheriff-Coroner publishes annual reports. CY 2024 release (Sept 2025) reported ~38% decline 2023→2024. CY 2025 not yet posted. 'Live Well Humboldt' is community dashboard alternative.</t>
  </si>
  <si>
    <t>https://www.yakimacounty.us/566/Coroner</t>
  </si>
  <si>
    <t>Yakima County Coroner via local media (KIT, Feb 2026). Down from 146 in 2024 (-25%). 12 deaths YTD as of Feb 2026. No formal dashboard.</t>
  </si>
  <si>
    <t>https://www.mohave.gov/departments/public-health/documents/medical-examiner-annual-report/</t>
  </si>
  <si>
    <t>Mohave County Medical Examiner publishes annual reports; CY 2025 not yet available. Among top-5 AZ counties for opioid death rate. No public real-time dashboard.</t>
  </si>
  <si>
    <t>https://stopoverdose.maryland.gov/dashboard/</t>
  </si>
  <si>
    <t>Cecil County Health Dept does not publish standalone OD figures. Best source: Maryland DOH 'Stop Overdose' Dashboard. Latest granular figure: Q1 2025 = 15 deaths (8 in March alone, ~2x Q1 2024). Medetomidine adulterant driving spike.</t>
  </si>
  <si>
    <t>https://tpchd.org/info/data/overdose/</t>
  </si>
  <si>
    <t>Tacoma-Pierce County Health Dept overdose page is best aggregated source. Pierce County ME public portal launched Dec 1, 2025 (case-level only, no aggregate total): https://medis-public.piercecountywa.gov</t>
  </si>
  <si>
    <t>https://knoxcounty.org/health/forensic_center.php</t>
  </si>
  <si>
    <t>Knox County Regional Forensic Center annual report released April 13, 2026 (Dr. Mileusnic-Polchan). -8% vs 334 in 2024. New synthetic opioid 'cychlorphine' tied to 41 East TN deaths July 2025-Feb 2026.</t>
  </si>
  <si>
    <t>https://hsc.unm.edu/omi/</t>
  </si>
  <si>
    <t>NM State Office of the Medical Investigator (UNM) handles all NM deaths but does not publish county-level OD counts in real time. NM-IBIS county data lags to 2023: https://ibis.doh.nm.gov/indicator/view/DrugOverdoseDth.Cnty.html</t>
  </si>
  <si>
    <t>https://dhhr.wv.gov/HSC/SS/Most_Requested_Statistics/DrugOverdoseMortality/Pages/default.aspx</t>
  </si>
  <si>
    <t>WV DHHR publishes only statewide provisional figures; Kanawha-Charleston Health Dept has no OD death dashboard. Most recent confirmed county-level death data is 2021. EMS data: 543 suspected overdoses (fatal+non-fatal) through Aug 31, 2025.</t>
  </si>
  <si>
    <t>https://www.co.cowlitz.wa.us/1094/Cowlitz-County-Coroner</t>
  </si>
  <si>
    <t>Cowlitz County Coroner (Dana Tucker) — data shared via press only. CY 2024 = 52 deaths; first ~5 weeks of 2025 = 10 deaths. No published CY 2025 total.</t>
  </si>
  <si>
    <t>https://www.nashville.gov/departments/health/drug-overdose-information</t>
  </si>
  <si>
    <t>Q1 2026 (partial)</t>
  </si>
  <si>
    <t>Metro Public Health Dept quarterly Drug Overdose Report using Davidson County Forensic Medical Center data — one of best local sources nationally. Q4 2025 = 78 deaths (-39.5% YoY); Q1 2026 = 80 (-35% YoY). Two most recent quarters ~158; annualized ~316.</t>
  </si>
  <si>
    <t>https://www.nyc.gov/site/doh/data/data-publications/epi-data-briefs-and-data-tables.page</t>
  </si>
  <si>
    <t>NYC OCME/DOHMH publishes citywide quarterly + annual borough data. 2024: Bronx -24% YoY but still highest borough rate. Q1 2025 citywide = 441 deaths; Bronx-specific quarterly counts only in detailed PDF tables. Epi Data Brief #150 (Oct 2025) is most recent.</t>
  </si>
  <si>
    <t>https://county.pueblo.org/public-health-department/substance-use-data-pueblo-county</t>
  </si>
  <si>
    <t>Pueblo County Coroner has no public OD dashboard. County Public Health 'Substance Use Data' page is best local source but lags. Best supplemental: CDPHE SUDORS dashboard.</t>
  </si>
  <si>
    <t>https://www.njoag.gov/programs/nj-cares/nj-cares-suspected-overdose-deaths/</t>
  </si>
  <si>
    <t>NJ Office of Chief State Medical Examiner data via NJ Cares (AG's office), published Jan 20, 2026. -46% vs 159 in 2024 — among largest YoY declines nationally. Also see: https://ocsme.nj.gov/Dashboard</t>
  </si>
  <si>
    <t>NOTES &amp; LEGEND</t>
  </si>
  <si>
    <t>• Yellow-fill 'Local Deaths' cells are user-editable inputs from local coroner/ME reports.</t>
  </si>
  <si>
    <t>• 'Local Rate per 100K' = Local Deaths ÷ 2024 Population × 100,000 (formula, updates automatically).</t>
  </si>
  <si>
    <t>• CDC baseline is the 12-month-ending September 2025 figure; local figures may cover a different period (calendar year, fiscal year, or partial year).</t>
  </si>
  <si>
    <t>• If local period differs (e.g., calendar 2025 vs. 12-month-ending Sept), compare with caution. Annualize partial-year figures before computing rates.</t>
  </si>
  <si>
    <t>• To populate another county: paste the URL into column G, fill in the period (H), deaths (I), and notes (K). Rate (J) updates automatically.</t>
  </si>
  <si>
    <t>• Where county coroner offices don't publish public dashboards, the county health department dashboard is often the best alternative source.</t>
  </si>
  <si>
    <t>STATUS: Of the 25 counties on this list, Spokane is fully populated. The remaining 24 will be researched on request. Quality of local data</t>
  </si>
  <si>
    <t>varies widely — many smaller counties only publish annual reports with a 6-12 month lag; some publish robust monthly dashboards (e.g., King County WA, Multnomah OR).</t>
  </si>
  <si>
    <t>Reconciliation: Original (Jan 2026) Chart vs. Recomputed Ranking</t>
  </si>
  <si>
    <t>Both rankings filter counties/county-equivalents with population &gt;200K, ranked by 12-month-ending overdose deaths per 100K.</t>
  </si>
  <si>
    <t>The original chart's #3 rank for Spokane does not reconcile with a complete CDC + Census universe.</t>
  </si>
  <si>
    <t>SUMMARY</t>
  </si>
  <si>
    <t>Original (uploaded chart)</t>
  </si>
  <si>
    <t>Recomputed (same data period)</t>
  </si>
  <si>
    <t>Current (this workbook)</t>
  </si>
  <si>
    <t>CDC data period (12-mo ending)</t>
  </si>
  <si>
    <t>June 2025</t>
  </si>
  <si>
    <t>September 2025</t>
  </si>
  <si>
    <t>Census population vintage</t>
  </si>
  <si>
    <t>2023 estimates</t>
  </si>
  <si>
    <t>Vintage 2024</t>
  </si>
  <si>
    <t>Population threshold</t>
  </si>
  <si>
    <t>&gt;200,000</t>
  </si>
  <si>
    <t>Spokane rank</t>
  </si>
  <si>
    <t>#3</t>
  </si>
  <si>
    <t>#7</t>
  </si>
  <si>
    <t>#5</t>
  </si>
  <si>
    <t>Spokane rate (per 100K)</t>
  </si>
  <si>
    <t>59.33</t>
  </si>
  <si>
    <t>57.89</t>
  </si>
  <si>
    <t>57.92</t>
  </si>
  <si>
    <t>Counties screened</t>
  </si>
  <si>
    <t>incomplete (≥10 missing)</t>
  </si>
  <si>
    <t>353</t>
  </si>
  <si>
    <t>356</t>
  </si>
  <si>
    <t>CORRECT TOP 25 USING ORIGINAL METHODOLOGY (June 2025 data + 2023 Census pop)</t>
  </si>
  <si>
    <t>Salmon rows = jurisdictions MISSING from the original chart's top 25.  Yellow = Spokane.</t>
  </si>
  <si>
    <t>2023 Pop</t>
  </si>
  <si>
    <t>Deaths</t>
  </si>
  <si>
    <t>Rate per 100K</t>
  </si>
  <si>
    <t>In original chart?</t>
  </si>
  <si>
    <t>YES</t>
  </si>
  <si>
    <t>NO — missing</t>
  </si>
  <si>
    <t>EXPLANATION</t>
  </si>
  <si>
    <t>Both rankings filter to counties and county-equivalents (counties, independent cities, parishes, Alaska boroughs/municipalities,</t>
  </si>
  <si>
    <t>and the District of Columbia) with population &gt; 200,000. That universe is 353 jurisdictions using Census 2023 estimates and 356</t>
  </si>
  <si>
    <t>using Census Vintage 2024.</t>
  </si>
  <si>
    <t>The original Jan 2026 chart placed Spokane at #3 with the 12-month-ending June 2025 figure (320 deaths, rate 59.33 per 100K).</t>
  </si>
  <si>
    <t>Running the same data against the full universe puts Spokane at #7. Ten qualifying jurisdictions with higher rates were missing</t>
  </si>
  <si>
    <t>from the original's top 25 — most notably Anchorage Municipality (#3), Butte County CA (#4), Yakima County WA (#9), Mohave County</t>
  </si>
  <si>
    <t>AZ (#10), Orleans Parish (#14), Atlantic County NJ (#18), the District of Columbia (#19), Richmond city VA (#22), Thurston County</t>
  </si>
  <si>
    <t>WA (#23), and Jefferson County KY (#25).</t>
  </si>
  <si>
    <t>Spokane's rate barely moved between June 2025 and September 2025 (57.89 → 57.92). The shift in headline rank is driven by what's</t>
  </si>
  <si>
    <t>screened in, not by Spokane's underlying numbers improving or worsening.</t>
  </si>
  <si>
    <t>RECOMMENDATION: When citing Spokane's national rank, use the 'Top 25 Ranking' or 'Top 25 (Pop &gt;300K)' tabs as appropriate.</t>
  </si>
  <si>
    <t>Under the &gt;200K filter, Spokane ranks #5; under the &gt;300K filter, Spokane ranks #2 (only Baltimore city is higher). Five Washington</t>
  </si>
  <si>
    <t>counties appear in the &gt;200K top 25 (Spokane, Yakima, Pierce, King, Thurston); nine appear in the &gt;100K top 50.</t>
  </si>
  <si>
    <t>Full Ranking — All Counties &gt;100K Population, by Overdose Death Rate per 100,000</t>
  </si>
  <si>
    <t>12-month-ending September 2025. Spokane in yellow; other WA counties in green.</t>
  </si>
  <si>
    <t>HISTORICAL COLUMNS (I onward): 2018-2019 are NCHS model-based rates per 100K (Bayesian estimates, may differ ±30-50% from raw counts). Quarterly columns Mar 2020 - Sep 2025 = CDC VSRR observed death counts (12-mo trailing). Spokane 2018/2019 (green) = verified ME report.</t>
  </si>
  <si>
    <t>Quality Flag</t>
  </si>
  <si>
    <t>2018 Rate / 100K
(NCHS model est.)</t>
  </si>
  <si>
    <t>2019 Rate / 100K
(NCHS model est.)</t>
  </si>
  <si>
    <t>12-mo end
Mar 2020
Deaths (VSRR)</t>
  </si>
  <si>
    <t>12-mo end
Jun 2020
Deaths (VSRR)</t>
  </si>
  <si>
    <t>12-mo end
Sep 2020
Deaths (VSRR)</t>
  </si>
  <si>
    <t>12-mo end
Dec 2020
Deaths (VSRR)</t>
  </si>
  <si>
    <t>12-mo end
Mar 2021
Deaths (VSRR)</t>
  </si>
  <si>
    <t>12-mo end
Jun 2021
Deaths (VSRR)</t>
  </si>
  <si>
    <t>12-mo end
Sep 2021
Deaths (VSRR)</t>
  </si>
  <si>
    <t>12-mo end
Dec 2021
Deaths (VSRR)</t>
  </si>
  <si>
    <t>12-mo end
Mar 2022
Deaths (VSRR)</t>
  </si>
  <si>
    <t>12-mo end
Jun 2022
Deaths (VSRR)</t>
  </si>
  <si>
    <t>12-mo end
Sep 2022
Deaths (VSRR)</t>
  </si>
  <si>
    <t>12-mo end
Dec 2022
Deaths (VSRR)</t>
  </si>
  <si>
    <t>12-mo end
Mar 2023
Deaths (VSRR)</t>
  </si>
  <si>
    <t>12-mo end
Jun 2023
Deaths (VSRR)</t>
  </si>
  <si>
    <t>12-mo end
Sep 2023
Deaths (VSRR)</t>
  </si>
  <si>
    <t>12-mo end
Dec 2023
Deaths (VSRR)</t>
  </si>
  <si>
    <t>12-mo end
Mar 2024
Deaths (VSRR)</t>
  </si>
  <si>
    <t>12-mo end
Jun 2024
Deaths (VSRR)</t>
  </si>
  <si>
    <t>12-mo end
Sep 2024
Deaths (VSRR)</t>
  </si>
  <si>
    <t>12-mo end
Dec 2024
Deaths (VSRR)</t>
  </si>
  <si>
    <t>12-mo end
Mar 2025
Deaths (VSRR)</t>
  </si>
  <si>
    <t>12-mo end
Jun 2025
Deaths (VSRR)</t>
  </si>
  <si>
    <t>12-mo end
Sep 2025
Deaths (VSRR)</t>
  </si>
  <si>
    <t>Trumbull County</t>
  </si>
  <si>
    <t>Ohio</t>
  </si>
  <si>
    <t>Benton County</t>
  </si>
  <si>
    <t>Shasta County</t>
  </si>
  <si>
    <t>Delaware County</t>
  </si>
  <si>
    <t>Kern County</t>
  </si>
  <si>
    <t>Berkshire County</t>
  </si>
  <si>
    <t>Massachusetts</t>
  </si>
  <si>
    <t>Penobscot County</t>
  </si>
  <si>
    <t>Maine</t>
  </si>
  <si>
    <t>Wyandotte County</t>
  </si>
  <si>
    <t>Aiken County</t>
  </si>
  <si>
    <t>South Carolina</t>
  </si>
  <si>
    <t>Tangipahoa Parish</t>
  </si>
  <si>
    <t>Sedgwick County</t>
  </si>
  <si>
    <t>Clark County</t>
  </si>
  <si>
    <t>Bradley County</t>
  </si>
  <si>
    <t>Alabama</t>
  </si>
  <si>
    <t>Washington County</t>
  </si>
  <si>
    <t>Blair County</t>
  </si>
  <si>
    <t>Catawba County</t>
  </si>
  <si>
    <t>North Carolina</t>
  </si>
  <si>
    <t>Richmond County</t>
  </si>
  <si>
    <t>Georgia</t>
  </si>
  <si>
    <t>Hamilton County</t>
  </si>
  <si>
    <t>Camden County</t>
  </si>
  <si>
    <t>Jefferson Parish</t>
  </si>
  <si>
    <t>Lane County</t>
  </si>
  <si>
    <t>Ramsey County</t>
  </si>
  <si>
    <t>Minnesota</t>
  </si>
  <si>
    <t>Gaston County</t>
  </si>
  <si>
    <t>Sacramento County</t>
  </si>
  <si>
    <t>Mahoning County</t>
  </si>
  <si>
    <t>Genesee County</t>
  </si>
  <si>
    <t>Michigan</t>
  </si>
  <si>
    <t>Horry County</t>
  </si>
  <si>
    <t>Androscoggin County</t>
  </si>
  <si>
    <t>Robeson County</t>
  </si>
  <si>
    <t>Cochise County</t>
  </si>
  <si>
    <t>Lucas County</t>
  </si>
  <si>
    <t>York County</t>
  </si>
  <si>
    <t>Monroe County</t>
  </si>
  <si>
    <t>Sandoval County</t>
  </si>
  <si>
    <t>Comanche County</t>
  </si>
  <si>
    <t>Oklahoma</t>
  </si>
  <si>
    <t>Lancaster County</t>
  </si>
  <si>
    <t>Nevada County</t>
  </si>
  <si>
    <t>Hampden County</t>
  </si>
  <si>
    <t>Allegheny County</t>
  </si>
  <si>
    <t>Santa Cruz County</t>
  </si>
  <si>
    <t>Douglas County</t>
  </si>
  <si>
    <t>Brevard County</t>
  </si>
  <si>
    <t>Calhoun County</t>
  </si>
  <si>
    <t>Doña Ana County</t>
  </si>
  <si>
    <t>LaPorte County</t>
  </si>
  <si>
    <t>Rapides Parish</t>
  </si>
  <si>
    <t>Montgomery County</t>
  </si>
  <si>
    <t>Sullivan County</t>
  </si>
  <si>
    <t>Franklin County</t>
  </si>
  <si>
    <t>Harrison County</t>
  </si>
  <si>
    <t>Hardin County</t>
  </si>
  <si>
    <t>Adams County</t>
  </si>
  <si>
    <t>Arapahoe County</t>
  </si>
  <si>
    <t>Fayette County</t>
  </si>
  <si>
    <t>Kitsap County</t>
  </si>
  <si>
    <t>Westmoreland County</t>
  </si>
  <si>
    <t>San Juan County</t>
  </si>
  <si>
    <t>Stark County</t>
  </si>
  <si>
    <t>Solano County</t>
  </si>
  <si>
    <t>Cuyahoga County</t>
  </si>
  <si>
    <t>Wayne County</t>
  </si>
  <si>
    <t>Yavapai County</t>
  </si>
  <si>
    <t>Suffolk County</t>
  </si>
  <si>
    <t>Blount County</t>
  </si>
  <si>
    <t>Hennepin County</t>
  </si>
  <si>
    <t>Beaver County</t>
  </si>
  <si>
    <t>Oklahoma County</t>
  </si>
  <si>
    <t>Kenton County</t>
  </si>
  <si>
    <t>St. Clair County</t>
  </si>
  <si>
    <t>Maui County</t>
  </si>
  <si>
    <t>Hawaii</t>
  </si>
  <si>
    <t>Livingston Parish</t>
  </si>
  <si>
    <t>Etowah County</t>
  </si>
  <si>
    <t>Pinellas County</t>
  </si>
  <si>
    <t>Charleston County</t>
  </si>
  <si>
    <t>Craven County</t>
  </si>
  <si>
    <t>Berkeley County</t>
  </si>
  <si>
    <t>Linn County</t>
  </si>
  <si>
    <t>East Baton Rouge Parish</t>
  </si>
  <si>
    <t>Lexington County</t>
  </si>
  <si>
    <t>Rutherford County</t>
  </si>
  <si>
    <t>Monterey County</t>
  </si>
  <si>
    <t>San Luis Obispo County</t>
  </si>
  <si>
    <t>Summit County</t>
  </si>
  <si>
    <t>Cumberland County</t>
  </si>
  <si>
    <t>Butler County</t>
  </si>
  <si>
    <t>Chautauqua County</t>
  </si>
  <si>
    <t>Rhode Island</t>
  </si>
  <si>
    <t>Anderson County</t>
  </si>
  <si>
    <t>Hernando County</t>
  </si>
  <si>
    <t>Maury County</t>
  </si>
  <si>
    <t>Calcasieu Parish</t>
  </si>
  <si>
    <t>St. Tammany Parish</t>
  </si>
  <si>
    <t>Cleveland County</t>
  </si>
  <si>
    <t>Stanislaus County</t>
  </si>
  <si>
    <t>Rowan County</t>
  </si>
  <si>
    <t>Lackawanna County</t>
  </si>
  <si>
    <t>Nassau County</t>
  </si>
  <si>
    <t>Clackamas County</t>
  </si>
  <si>
    <t>Baltimore County</t>
  </si>
  <si>
    <t>San Joaquin County</t>
  </si>
  <si>
    <t>Essex County</t>
  </si>
  <si>
    <t>Cass County</t>
  </si>
  <si>
    <t>Duval County</t>
  </si>
  <si>
    <t>Lake County</t>
  </si>
  <si>
    <t>Lorain County</t>
  </si>
  <si>
    <t>Okaloosa County</t>
  </si>
  <si>
    <t>Vigo County</t>
  </si>
  <si>
    <t>Schuylkill County</t>
  </si>
  <si>
    <t>New Hanover County</t>
  </si>
  <si>
    <t>Dutchess County</t>
  </si>
  <si>
    <t>Spartanburg County</t>
  </si>
  <si>
    <t>Florence County</t>
  </si>
  <si>
    <t>Pickens County</t>
  </si>
  <si>
    <t>Riverside County</t>
  </si>
  <si>
    <t>Salt Lake County</t>
  </si>
  <si>
    <t>Utah</t>
  </si>
  <si>
    <t>Onslow County</t>
  </si>
  <si>
    <t>Mercer County</t>
  </si>
  <si>
    <t>Bibb County</t>
  </si>
  <si>
    <t>Randolph County</t>
  </si>
  <si>
    <t>Johnson County</t>
  </si>
  <si>
    <t>Macon County</t>
  </si>
  <si>
    <t>Peoria County</t>
  </si>
  <si>
    <t>Weber County</t>
  </si>
  <si>
    <t>Erie County</t>
  </si>
  <si>
    <t>Kennebec County</t>
  </si>
  <si>
    <t>Wicomico County</t>
  </si>
  <si>
    <t>Buncombe County</t>
  </si>
  <si>
    <t>Muskegon County</t>
  </si>
  <si>
    <t>Pasco County</t>
  </si>
  <si>
    <t>Pulaski County</t>
  </si>
  <si>
    <t>Arkansas</t>
  </si>
  <si>
    <t>Strafford County</t>
  </si>
  <si>
    <t>New Hampshire</t>
  </si>
  <si>
    <t>Mobile County</t>
  </si>
  <si>
    <t>Ventura County</t>
  </si>
  <si>
    <t>Forsyth County</t>
  </si>
  <si>
    <t>Monongalia County</t>
  </si>
  <si>
    <t>Volusia County</t>
  </si>
  <si>
    <t>Fairfield County</t>
  </si>
  <si>
    <t>Daviess County</t>
  </si>
  <si>
    <t>Niagara County</t>
  </si>
  <si>
    <t>San Bernardino County</t>
  </si>
  <si>
    <t>Dorchester County</t>
  </si>
  <si>
    <t>Pinal County</t>
  </si>
  <si>
    <t>Bristol County</t>
  </si>
  <si>
    <t>Dallas County</t>
  </si>
  <si>
    <t>Texas</t>
  </si>
  <si>
    <t>Clarke County</t>
  </si>
  <si>
    <t>San Diego County</t>
  </si>
  <si>
    <t>Hawaii County</t>
  </si>
  <si>
    <t>Bartow County</t>
  </si>
  <si>
    <t>Kootenai County</t>
  </si>
  <si>
    <t>Idaho</t>
  </si>
  <si>
    <t>Providence County</t>
  </si>
  <si>
    <t>Hillsborough County</t>
  </si>
  <si>
    <t>Oswego County</t>
  </si>
  <si>
    <t>Luzerne County</t>
  </si>
  <si>
    <t>Ascension Parish</t>
  </si>
  <si>
    <t>Richland County</t>
  </si>
  <si>
    <t>Sussex County</t>
  </si>
  <si>
    <t>Fulton County</t>
  </si>
  <si>
    <t>Wilson County</t>
  </si>
  <si>
    <t>Anne Arundel County</t>
  </si>
  <si>
    <t>Worcester County</t>
  </si>
  <si>
    <t>Yellowstone County</t>
  </si>
  <si>
    <t>Montana</t>
  </si>
  <si>
    <t>Greene County</t>
  </si>
  <si>
    <t>Santa Barbara County</t>
  </si>
  <si>
    <t>Polk County</t>
  </si>
  <si>
    <t>Iowa</t>
  </si>
  <si>
    <t>Honolulu County</t>
  </si>
  <si>
    <t>Carroll County</t>
  </si>
  <si>
    <t>Rensselaer County</t>
  </si>
  <si>
    <t>Tarrant County</t>
  </si>
  <si>
    <t>Broome County</t>
  </si>
  <si>
    <t>Bossier Parish</t>
  </si>
  <si>
    <t>Olmsted County</t>
  </si>
  <si>
    <t>Hinds County</t>
  </si>
  <si>
    <t>Sonoma County</t>
  </si>
  <si>
    <t>Winnebago County</t>
  </si>
  <si>
    <t>Fresno County</t>
  </si>
  <si>
    <t>Ingham County</t>
  </si>
  <si>
    <t>St. Louis County</t>
  </si>
  <si>
    <t>Taylor County</t>
  </si>
  <si>
    <t>Henrico County</t>
  </si>
  <si>
    <t>Greenville County</t>
  </si>
  <si>
    <t>Contra Costa County</t>
  </si>
  <si>
    <t>Sumner County</t>
  </si>
  <si>
    <t>Ocean County</t>
  </si>
  <si>
    <t>Nueces County</t>
  </si>
  <si>
    <t>Mesa County</t>
  </si>
  <si>
    <t>Flathead County</t>
  </si>
  <si>
    <t>El Dorado County</t>
  </si>
  <si>
    <t>Cook County</t>
  </si>
  <si>
    <t>Norfolk city</t>
  </si>
  <si>
    <t>Merrimack County</t>
  </si>
  <si>
    <t>Berrien County</t>
  </si>
  <si>
    <t>Vanderburgh County</t>
  </si>
  <si>
    <t>Allen County</t>
  </si>
  <si>
    <t>Floyd County</t>
  </si>
  <si>
    <t>Chittenden County</t>
  </si>
  <si>
    <t>Vermont</t>
  </si>
  <si>
    <t>Woodbury County</t>
  </si>
  <si>
    <t>Merced County</t>
  </si>
  <si>
    <t>LaSalle County</t>
  </si>
  <si>
    <t>Clay County</t>
  </si>
  <si>
    <t>Citrus County</t>
  </si>
  <si>
    <t>La Crosse County</t>
  </si>
  <si>
    <t>Mecklenburg County</t>
  </si>
  <si>
    <t>Rock County</t>
  </si>
  <si>
    <t>Weld County</t>
  </si>
  <si>
    <t>Newport News city</t>
  </si>
  <si>
    <t>Indian River County</t>
  </si>
  <si>
    <t>Bucks County</t>
  </si>
  <si>
    <t>Berks County</t>
  </si>
  <si>
    <t>Gloucester County</t>
  </si>
  <si>
    <t>Brunswick County</t>
  </si>
  <si>
    <t>Harnett County</t>
  </si>
  <si>
    <t>Yolo County</t>
  </si>
  <si>
    <t>Yuma County</t>
  </si>
  <si>
    <t>Wichita County</t>
  </si>
  <si>
    <t>New York County</t>
  </si>
  <si>
    <t>Marshall County</t>
  </si>
  <si>
    <t>Kings County</t>
  </si>
  <si>
    <t>Tulare County</t>
  </si>
  <si>
    <t>Columbia County</t>
  </si>
  <si>
    <t>Travis County</t>
  </si>
  <si>
    <t>Alameda County</t>
  </si>
  <si>
    <t>Yamhill County</t>
  </si>
  <si>
    <t>Dauphin County</t>
  </si>
  <si>
    <t>Ector County</t>
  </si>
  <si>
    <t>Plymouth County</t>
  </si>
  <si>
    <t>Kankakee County</t>
  </si>
  <si>
    <t>Santa Rosa County</t>
  </si>
  <si>
    <t>Hunt County</t>
  </si>
  <si>
    <t>Onondaga County</t>
  </si>
  <si>
    <t>St. Joseph County</t>
  </si>
  <si>
    <t>Laramie County</t>
  </si>
  <si>
    <t>Wyoming</t>
  </si>
  <si>
    <t>Macomb County</t>
  </si>
  <si>
    <t>Racine County</t>
  </si>
  <si>
    <t>Grayson County</t>
  </si>
  <si>
    <t>Kenosha County</t>
  </si>
  <si>
    <t>Bay County</t>
  </si>
  <si>
    <t>Suffolk city</t>
  </si>
  <si>
    <t>Bonneville County</t>
  </si>
  <si>
    <t>Baldwin County</t>
  </si>
  <si>
    <t>North Dakota</t>
  </si>
  <si>
    <t>Marin County</t>
  </si>
  <si>
    <t>DeKalb County</t>
  </si>
  <si>
    <t>Beaufort County</t>
  </si>
  <si>
    <t>Lehigh County</t>
  </si>
  <si>
    <t>Durham County</t>
  </si>
  <si>
    <t>Minnehaha County</t>
  </si>
  <si>
    <t>South Dakota</t>
  </si>
  <si>
    <t>Newton County</t>
  </si>
  <si>
    <t>Lafayette Parish</t>
  </si>
  <si>
    <t>Galveston County</t>
  </si>
  <si>
    <t>Saginaw County</t>
  </si>
  <si>
    <t>Bexar County</t>
  </si>
  <si>
    <t>Passaic County</t>
  </si>
  <si>
    <t>Hunterdon County</t>
  </si>
  <si>
    <t>Kalamazoo County</t>
  </si>
  <si>
    <t>Spotsylvania County</t>
  </si>
  <si>
    <t>Guilford County</t>
  </si>
  <si>
    <t>St. Lucie County</t>
  </si>
  <si>
    <t>Burlington County</t>
  </si>
  <si>
    <t>Union County</t>
  </si>
  <si>
    <t>Palm Beach County</t>
  </si>
  <si>
    <t>Alachua County</t>
  </si>
  <si>
    <t>Schenectady County</t>
  </si>
  <si>
    <t>Porter County</t>
  </si>
  <si>
    <t>DeSoto County</t>
  </si>
  <si>
    <t>Albany County</t>
  </si>
  <si>
    <t>Caddo Parish</t>
  </si>
  <si>
    <t>Prince George's County</t>
  </si>
  <si>
    <t>Charlotte County</t>
  </si>
  <si>
    <t>Davis County</t>
  </si>
  <si>
    <t>Orange County</t>
  </si>
  <si>
    <t>Parker County</t>
  </si>
  <si>
    <t>Harris County</t>
  </si>
  <si>
    <t>Chesapeake city</t>
  </si>
  <si>
    <t>Sumter County</t>
  </si>
  <si>
    <t>Dane County</t>
  </si>
  <si>
    <t>Liberty County</t>
  </si>
  <si>
    <t>Moore County</t>
  </si>
  <si>
    <t>Placer County</t>
  </si>
  <si>
    <t>Harford County</t>
  </si>
  <si>
    <t>Flagler County</t>
  </si>
  <si>
    <t>Barnstable County</t>
  </si>
  <si>
    <t>Eaton County</t>
  </si>
  <si>
    <t>Anoka County</t>
  </si>
  <si>
    <t>Highlands County</t>
  </si>
  <si>
    <t>Northampton County</t>
  </si>
  <si>
    <t>Hampton city</t>
  </si>
  <si>
    <t>Monmouth County</t>
  </si>
  <si>
    <t>Martin County</t>
  </si>
  <si>
    <t>Broward County</t>
  </si>
  <si>
    <t>Hall County</t>
  </si>
  <si>
    <t>Lee County</t>
  </si>
  <si>
    <t>Santa Clara County</t>
  </si>
  <si>
    <t>Boulder County</t>
  </si>
  <si>
    <t>Henderson County</t>
  </si>
  <si>
    <t>Sarasota County</t>
  </si>
  <si>
    <t>Brazoria County</t>
  </si>
  <si>
    <t>Stearns County</t>
  </si>
  <si>
    <t>Ada County</t>
  </si>
  <si>
    <t>Osceola County</t>
  </si>
  <si>
    <t>Henry County</t>
  </si>
  <si>
    <t>Cabarrus County</t>
  </si>
  <si>
    <t>Missoula County</t>
  </si>
  <si>
    <t>Hudson County</t>
  </si>
  <si>
    <t>Cambria County</t>
  </si>
  <si>
    <t>Outagamie County</t>
  </si>
  <si>
    <t>Paulding County</t>
  </si>
  <si>
    <t>Clayton County</t>
  </si>
  <si>
    <t>Bell County</t>
  </si>
  <si>
    <t>St. Mary's County</t>
  </si>
  <si>
    <t>St. Charles County</t>
  </si>
  <si>
    <t>Walton County</t>
  </si>
  <si>
    <t>Warren County</t>
  </si>
  <si>
    <t>Larimer County</t>
  </si>
  <si>
    <t>Ouachita Parish</t>
  </si>
  <si>
    <t>McHenry County</t>
  </si>
  <si>
    <t>Imperial County</t>
  </si>
  <si>
    <t>Oneida County</t>
  </si>
  <si>
    <t>Ulster County</t>
  </si>
  <si>
    <t>Canyon County</t>
  </si>
  <si>
    <t>Tazewell County</t>
  </si>
  <si>
    <t>Norfolk County</t>
  </si>
  <si>
    <t>Iredell County</t>
  </si>
  <si>
    <t>San Mateo County</t>
  </si>
  <si>
    <t>Queens County</t>
  </si>
  <si>
    <t>Virginia Beach city</t>
  </si>
  <si>
    <t>Chester County</t>
  </si>
  <si>
    <t>Chesterfield County</t>
  </si>
  <si>
    <t>Cobb County</t>
  </si>
  <si>
    <t>Portage County</t>
  </si>
  <si>
    <t>McLean County</t>
  </si>
  <si>
    <t>Champaign County</t>
  </si>
  <si>
    <t>Morgan County</t>
  </si>
  <si>
    <t>Chatham County</t>
  </si>
  <si>
    <t>Houston County</t>
  </si>
  <si>
    <t>Lubbock County</t>
  </si>
  <si>
    <t>Miami County</t>
  </si>
  <si>
    <t>Comal County</t>
  </si>
  <si>
    <t>Whitfield County</t>
  </si>
  <si>
    <t>Seminole County</t>
  </si>
  <si>
    <t>Middlesex County</t>
  </si>
  <si>
    <t>Marathon County</t>
  </si>
  <si>
    <t>Potter County</t>
  </si>
  <si>
    <t>Saline County</t>
  </si>
  <si>
    <t>Clermont County</t>
  </si>
  <si>
    <t>Kaufman County</t>
  </si>
  <si>
    <t>Hampshire County</t>
  </si>
  <si>
    <t>Alamance County</t>
  </si>
  <si>
    <t>Dakota County</t>
  </si>
  <si>
    <t>Prince William County</t>
  </si>
  <si>
    <t>Lebanon County</t>
  </si>
  <si>
    <t>Sherburne County</t>
  </si>
  <si>
    <t>Utah County</t>
  </si>
  <si>
    <t>Manatee County</t>
  </si>
  <si>
    <t>Lowndes County</t>
  </si>
  <si>
    <t>Licking County</t>
  </si>
  <si>
    <t>Deschutes County</t>
  </si>
  <si>
    <t>Bastrop County</t>
  </si>
  <si>
    <t>Hays County</t>
  </si>
  <si>
    <t>Craighead County</t>
  </si>
  <si>
    <t>Rankin County</t>
  </si>
  <si>
    <t>Somerset County</t>
  </si>
  <si>
    <t>Oakland County</t>
  </si>
  <si>
    <t>Gwinnett County</t>
  </si>
  <si>
    <t>Eau Claire County</t>
  </si>
  <si>
    <t>Leon County</t>
  </si>
  <si>
    <t>Washtenaw County</t>
  </si>
  <si>
    <t>Brown County</t>
  </si>
  <si>
    <t>Limestone County</t>
  </si>
  <si>
    <t>Boone County</t>
  </si>
  <si>
    <t>Cherokee County</t>
  </si>
  <si>
    <t>St. Johns County</t>
  </si>
  <si>
    <t>Coweta County</t>
  </si>
  <si>
    <t>McLennan County</t>
  </si>
  <si>
    <t>Lycoming County</t>
  </si>
  <si>
    <t>Will County</t>
  </si>
  <si>
    <t>Fond du Lac County</t>
  </si>
  <si>
    <t>Hendricks County</t>
  </si>
  <si>
    <t>Tippecanoe County</t>
  </si>
  <si>
    <t>Johnston County</t>
  </si>
  <si>
    <t>Walworth County</t>
  </si>
  <si>
    <t>Collier County</t>
  </si>
  <si>
    <t>Madera County</t>
  </si>
  <si>
    <t>Albemarle County</t>
  </si>
  <si>
    <t>Denton County</t>
  </si>
  <si>
    <t>Williamson County</t>
  </si>
  <si>
    <t>Pitt County</t>
  </si>
  <si>
    <t>Rockingham County</t>
  </si>
  <si>
    <t>Westchester County</t>
  </si>
  <si>
    <t>Rock Island County</t>
  </si>
  <si>
    <t>Midland County</t>
  </si>
  <si>
    <t>Charles County</t>
  </si>
  <si>
    <t>Ontario County</t>
  </si>
  <si>
    <t>Elkhart County</t>
  </si>
  <si>
    <t>Miami-Dade County</t>
  </si>
  <si>
    <t>Tuscaloosa County</t>
  </si>
  <si>
    <t>Jasper County</t>
  </si>
  <si>
    <t>Pennington County</t>
  </si>
  <si>
    <t>Rockland County</t>
  </si>
  <si>
    <t>Ellis County</t>
  </si>
  <si>
    <t>Howard County</t>
  </si>
  <si>
    <t>Muscogee County</t>
  </si>
  <si>
    <t>Nebraska</t>
  </si>
  <si>
    <t>Bergen County</t>
  </si>
  <si>
    <t>Sarpy County</t>
  </si>
  <si>
    <t>Black Hawk County</t>
  </si>
  <si>
    <t>Napa County</t>
  </si>
  <si>
    <t>Kane County</t>
  </si>
  <si>
    <t>Waukesha County</t>
  </si>
  <si>
    <t>Fairfax County</t>
  </si>
  <si>
    <t>Wake County</t>
  </si>
  <si>
    <t>Canadian County</t>
  </si>
  <si>
    <t>Rockwall County</t>
  </si>
  <si>
    <t>Guadalupe County</t>
  </si>
  <si>
    <t>Gallatin County</t>
  </si>
  <si>
    <t>Morris County</t>
  </si>
  <si>
    <t>Scott County</t>
  </si>
  <si>
    <t>Sebastian County</t>
  </si>
  <si>
    <t>Kendall County</t>
  </si>
  <si>
    <t>Wood County</t>
  </si>
  <si>
    <t>DuPage County</t>
  </si>
  <si>
    <t>Stafford County</t>
  </si>
  <si>
    <t>Cameron County</t>
  </si>
  <si>
    <t>Cache County</t>
  </si>
  <si>
    <t>Medina County</t>
  </si>
  <si>
    <t>Collin County</t>
  </si>
  <si>
    <t>Smith County</t>
  </si>
  <si>
    <t>Frederick County</t>
  </si>
  <si>
    <t>Webb County</t>
  </si>
  <si>
    <t>Livingston County</t>
  </si>
  <si>
    <t>Arlington County</t>
  </si>
  <si>
    <t>Saratoga County</t>
  </si>
  <si>
    <t>Ottawa County</t>
  </si>
  <si>
    <t>Loudoun County</t>
  </si>
  <si>
    <t>Fort Bend County</t>
  </si>
  <si>
    <t>Hidalgo County</t>
  </si>
  <si>
    <t>Alexandria city</t>
  </si>
  <si>
    <t>Allegan County</t>
  </si>
  <si>
    <t>Brazos County</t>
  </si>
  <si>
    <t>Burleigh County</t>
  </si>
  <si>
    <t>Capitol Planning Region</t>
  </si>
  <si>
    <t>Connecticut</t>
  </si>
  <si>
    <t>Carver County</t>
  </si>
  <si>
    <t>Centre County</t>
  </si>
  <si>
    <t>Toggle TRUE/FALSE in row 603 to show/hide each jurisdiction. Spokane extends to Dec 2025 using local coroner data; all other counties end Sep 2025.</t>
  </si>
  <si>
    <t>Faulkner County</t>
  </si>
  <si>
    <t>Gregg County</t>
  </si>
  <si>
    <t>Spokane County, WA — Overdose Death Trend</t>
  </si>
  <si>
    <t>12-month-ending overdose deaths, monthly, from January 2020 through September 2025.</t>
  </si>
  <si>
    <t>Rates calculated against constant 2024 population (denominator below).</t>
  </si>
  <si>
    <t>Spokane County 2024 population:</t>
  </si>
  <si>
    <t>12-Month Period Ending</t>
  </si>
  <si>
    <t>Year</t>
  </si>
  <si>
    <t>Month</t>
  </si>
  <si>
    <t>Overdose Deaths</t>
  </si>
  <si>
    <t>Spokane County Medical Examiner — Local Update Template</t>
  </si>
  <si>
    <t>Drop newer Spokane-only figures here. Rate updates automatically.</t>
  </si>
  <si>
    <t>Yellow fill = input cells. Blue text = inputs. Black text = formulas. Green text = cross-sheet links.</t>
  </si>
  <si>
    <t>LOCAL CORONER / MEDICAL EXAMINER FIGURES</t>
  </si>
  <si>
    <t>Reporting period start date:</t>
  </si>
  <si>
    <t>Oct 1, 2025</t>
  </si>
  <si>
    <t>Input — start of ME reporting period</t>
  </si>
  <si>
    <t>Reporting period end date:</t>
  </si>
  <si>
    <t>Mar 31, 2026</t>
  </si>
  <si>
    <t>Input — end of ME reporting period</t>
  </si>
  <si>
    <t>Months covered in period:</t>
  </si>
  <si>
    <t>Input — number of months in the period</t>
  </si>
  <si>
    <t>Overdose deaths in period (Spokane):</t>
  </si>
  <si>
    <t>Input — local Spokane County ME overdose total</t>
  </si>
  <si>
    <t>Annualized deaths (extrapolated):</t>
  </si>
  <si>
    <t>Formula: deaths ÷ months × 12</t>
  </si>
  <si>
    <t>Source: U.S. Census Bureau, Vintage 2024</t>
  </si>
  <si>
    <t>Annualized rate per 100,000:</t>
  </si>
  <si>
    <t>Formula: annualized deaths ÷ pop × 100,000</t>
  </si>
  <si>
    <t>CDC COMPARISON (12-mo ending Sep 2025)</t>
  </si>
  <si>
    <t>CDC overdose deaths (Spokane):</t>
  </si>
  <si>
    <t>Linked from Spokane Trend tab</t>
  </si>
  <si>
    <t>CDC rate per 100,000:</t>
  </si>
  <si>
    <t>Formula: CDC deaths ÷ pop × 100,000</t>
  </si>
  <si>
    <t>CHANGE: LOCAL vs. CDC</t>
  </si>
  <si>
    <t>Difference in rate (local − CDC):</t>
  </si>
  <si>
    <t>Formula: annualized local rate − CDC rate</t>
  </si>
  <si>
    <t>Percent change vs. CDC:</t>
  </si>
  <si>
    <t>Formula: (local − CDC) ÷ CDC</t>
  </si>
  <si>
    <t>HOW TO USE</t>
  </si>
  <si>
    <t>1. Enter ME reporting period dates (B6, B7) and number of months covered (B8).</t>
  </si>
  <si>
    <t>2. Enter the local Spokane County ME overdose death count for that period in B9.</t>
  </si>
  <si>
    <t>3. If a newer Census population estimate is available, update B11.</t>
  </si>
  <si>
    <t>4. The annualized rate (B12) and comparison to CDC baseline (B16, B19, B20) update automatically.</t>
  </si>
  <si>
    <t>5. To refresh the CDC baseline: replace source CSVs and rebuild the workbook.</t>
  </si>
  <si>
    <t>CDC VSRR Provisional Drug Overdose Deaths — 12-month period ending September 2025</t>
  </si>
  <si>
    <t>Filtered to counties/county-equivalents with 2024 population ≥ 100,000.  CDC snapshot: 04/05/2026</t>
  </si>
  <si>
    <t>Source: CDC NCHS Vital Statistics Rapid Release, dataset gb4e-yj24. Blank deaths = CDC-suppressed (counts 1-9).</t>
  </si>
  <si>
    <t>FIPS</t>
  </si>
  <si>
    <t>Overdose Deaths (12-mo end Sep 2025)</t>
  </si>
  <si>
    <t>Completeness of provisional 2019 data under 90% after 6 months.</t>
  </si>
  <si>
    <t>Greater Bridgeport Planning Region</t>
  </si>
  <si>
    <t>Hanover County</t>
  </si>
  <si>
    <t>Los Angeles County</t>
  </si>
  <si>
    <t>Lower Connecticut River Valley Planning Region</t>
  </si>
  <si>
    <t>Maricopa County</t>
  </si>
  <si>
    <t>Naugatuck Valley Planning Region</t>
  </si>
  <si>
    <t>Northwest Hills Planning Region</t>
  </si>
  <si>
    <t>Platte County</t>
  </si>
  <si>
    <t>Randall County</t>
  </si>
  <si>
    <t>Rogers County</t>
  </si>
  <si>
    <t>Sheboygan County</t>
  </si>
  <si>
    <t>South Central Connecticut Planning Region</t>
  </si>
  <si>
    <t>Southeastern Connecticut Planning Region</t>
  </si>
  <si>
    <t>St. Lawrence County</t>
  </si>
  <si>
    <t>Story County</t>
  </si>
  <si>
    <t>Tom Green County</t>
  </si>
  <si>
    <t>Tompkins County</t>
  </si>
  <si>
    <t>Tulsa County</t>
  </si>
  <si>
    <t>Western Connecticut Planning Region</t>
  </si>
  <si>
    <t>Wright County</t>
  </si>
  <si>
    <t>U.S. Census Bureau Population Estimates — Vintage 2024</t>
  </si>
  <si>
    <t>July 1, 2024 county and county-equivalent estimates. Source: CO-EST2024-ALLDATA.</t>
  </si>
  <si>
    <t>Filtered to counties with 2024 estimate ≥ 100,000.</t>
  </si>
  <si>
    <t>Pop 2020</t>
  </si>
  <si>
    <t>Pop 2021</t>
  </si>
  <si>
    <t>Pop 2022</t>
  </si>
  <si>
    <t>Pop 2023</t>
  </si>
  <si>
    <t>Pop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</si>
</sst>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quot;%&quot;"/>
    <numFmt numFmtId="165" formatCode="0.0"/>
    <numFmt numFmtId="166" formatCode="#,##0.0"/>
    <numFmt numFmtId="167" formatCode="\+0.0;\-0.0;0.0"/>
    <numFmt numFmtId="168" formatCode="\+0.0%;\-0.0%;0.0%"/>
  </numFmts>
  <fonts count="23" x14ac:knownFonts="1">
    <font>
      <sz val="11"/>
      <color theme="1"/>
      <name val="Calibri"/>
      <family val="2"/>
      <scheme val="minor"/>
    </font>
    <font>
      <b/>
      <sz val="14"/>
      <color rgb="FF1F3864"/>
      <name val="Arial"/>
      <family val="2"/>
    </font>
    <font>
      <i/>
      <sz val="10"/>
      <color rgb="FF595959"/>
      <name val="Arial"/>
      <family val="2"/>
    </font>
    <font>
      <sz val="10"/>
      <name val="Arial"/>
      <family val="2"/>
    </font>
    <font>
      <b/>
      <sz val="10"/>
      <name val="Arial"/>
      <family val="2"/>
    </font>
    <font>
      <b/>
      <sz val="11"/>
      <color rgb="FFFFFFFF"/>
      <name val="Arial"/>
      <family val="2"/>
    </font>
    <font>
      <b/>
      <sz val="10"/>
      <color rgb="FF0000FF"/>
      <name val="Arial"/>
      <family val="2"/>
    </font>
    <font>
      <b/>
      <sz val="12"/>
      <color rgb="FF1F3864"/>
      <name val="Arial"/>
      <family val="2"/>
    </font>
    <font>
      <i/>
      <sz val="9"/>
      <color rgb="FF595959"/>
      <name val="Arial"/>
      <family val="2"/>
    </font>
    <font>
      <sz val="10"/>
      <color rgb="FF008000"/>
      <name val="Arial"/>
      <family val="2"/>
    </font>
    <font>
      <u/>
      <sz val="10"/>
      <color rgb="FF0563C1"/>
      <name val="Arial"/>
      <family val="2"/>
    </font>
    <font>
      <b/>
      <sz val="13"/>
      <color rgb="FF1F3864"/>
      <name val="Arial"/>
      <family val="2"/>
    </font>
    <font>
      <i/>
      <sz val="10"/>
      <color rgb="FF595959"/>
      <name val="Arial"/>
      <family val="2"/>
    </font>
    <font>
      <sz val="9"/>
      <name val="Arial"/>
      <family val="2"/>
    </font>
    <font>
      <b/>
      <sz val="10"/>
      <color rgb="FFFFFFFF"/>
      <name val="Arial"/>
      <family val="2"/>
    </font>
    <font>
      <i/>
      <sz val="10"/>
      <color rgb="FF8B6F47"/>
      <name val="Arial"/>
      <family val="2"/>
    </font>
    <font>
      <i/>
      <sz val="10"/>
      <color rgb="FF595959"/>
      <name val="Arial"/>
      <family val="2"/>
    </font>
    <font>
      <i/>
      <sz val="9"/>
      <color rgb="FF8B6F47"/>
      <name val="Arial"/>
      <family val="2"/>
    </font>
    <font>
      <b/>
      <sz val="10"/>
      <color rgb="FF006100"/>
      <name val="Arial"/>
      <family val="2"/>
    </font>
    <font>
      <b/>
      <sz val="12"/>
      <color rgb="FF1F3864"/>
      <name val="Arial"/>
    </font>
    <font>
      <i/>
      <sz val="10"/>
      <color rgb="FF595959"/>
      <name val="Arial"/>
    </font>
    <font>
      <b/>
      <sz val="10"/>
      <name val="Arial"/>
    </font>
    <font>
      <sz val="10"/>
      <name val="Arial"/>
    </font>
  </fonts>
  <fills count="15">
    <fill>
      <patternFill patternType="none"/>
    </fill>
    <fill>
      <patternFill patternType="gray125"/>
    </fill>
    <fill>
      <patternFill patternType="solid">
        <fgColor rgb="FF1F3864"/>
      </patternFill>
    </fill>
    <fill>
      <patternFill patternType="solid">
        <fgColor rgb="FFE2EFDA"/>
      </patternFill>
    </fill>
    <fill>
      <patternFill patternType="solid">
        <fgColor rgb="FFFFF2CC"/>
      </patternFill>
    </fill>
    <fill>
      <patternFill patternType="solid">
        <fgColor rgb="FFFFFF00"/>
      </patternFill>
    </fill>
    <fill>
      <patternFill patternType="solid">
        <fgColor rgb="FFF8CBAD"/>
      </patternFill>
    </fill>
    <fill>
      <patternFill patternType="solid">
        <fgColor rgb="FFC6EFCE"/>
      </patternFill>
    </fill>
    <fill>
      <patternFill patternType="solid">
        <fgColor rgb="FFFFF2CC"/>
      </patternFill>
    </fill>
    <fill>
      <patternFill patternType="solid">
        <fgColor rgb="FFFFC7CE"/>
      </patternFill>
    </fill>
    <fill>
      <patternFill patternType="solid">
        <fgColor rgb="FFE2EFDA"/>
      </patternFill>
    </fill>
    <fill>
      <patternFill patternType="solid">
        <fgColor rgb="FF8B6F47"/>
      </patternFill>
    </fill>
    <fill>
      <patternFill patternType="solid">
        <fgColor rgb="FF305496"/>
      </patternFill>
    </fill>
    <fill>
      <patternFill patternType="solid">
        <fgColor rgb="FFFFF2CC"/>
      </patternFill>
    </fill>
    <fill>
      <patternFill patternType="solid">
        <fgColor rgb="FFE2EFDA"/>
      </patternFill>
    </fill>
  </fills>
  <borders count="5">
    <border>
      <left/>
      <right/>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diagonal/>
    </border>
  </borders>
  <cellStyleXfs count="1">
    <xf numFmtId="0" fontId="0" fillId="0" borderId="0"/>
  </cellStyleXfs>
  <cellXfs count="121">
    <xf numFmtId="0" fontId="0" fillId="0" borderId="0" xfId="0"/>
    <xf numFmtId="0" fontId="1" fillId="0" borderId="0" xfId="0" applyFont="1"/>
    <xf numFmtId="0" fontId="2" fillId="0" borderId="0" xfId="0" applyFont="1"/>
    <xf numFmtId="0" fontId="3" fillId="0" borderId="0" xfId="0" applyFont="1"/>
    <xf numFmtId="0" fontId="3" fillId="0" borderId="0" xfId="0" applyFont="1" applyAlignment="1">
      <alignment vertical="top" wrapText="1"/>
    </xf>
    <xf numFmtId="0" fontId="4" fillId="0" borderId="0" xfId="0" applyFont="1"/>
    <xf numFmtId="0" fontId="5" fillId="2" borderId="1" xfId="0" applyFont="1" applyFill="1" applyBorder="1" applyAlignment="1">
      <alignment horizontal="center" vertical="center" wrapText="1"/>
    </xf>
    <xf numFmtId="0" fontId="3" fillId="0" borderId="1" xfId="0" applyFont="1" applyBorder="1"/>
    <xf numFmtId="3" fontId="3" fillId="0" borderId="1" xfId="0" applyNumberFormat="1" applyFont="1" applyBorder="1"/>
    <xf numFmtId="164" fontId="3" fillId="0" borderId="1" xfId="0" applyNumberFormat="1" applyFont="1" applyBorder="1"/>
    <xf numFmtId="0" fontId="3" fillId="3" borderId="1" xfId="0" applyFont="1" applyFill="1" applyBorder="1"/>
    <xf numFmtId="3" fontId="3" fillId="3" borderId="1" xfId="0" applyNumberFormat="1" applyFont="1" applyFill="1" applyBorder="1"/>
    <xf numFmtId="164" fontId="3" fillId="3" borderId="1" xfId="0" applyNumberFormat="1" applyFont="1" applyFill="1" applyBorder="1"/>
    <xf numFmtId="0" fontId="3" fillId="4" borderId="1" xfId="0" applyFont="1" applyFill="1" applyBorder="1"/>
    <xf numFmtId="3" fontId="3" fillId="4" borderId="1" xfId="0" applyNumberFormat="1" applyFont="1" applyFill="1" applyBorder="1"/>
    <xf numFmtId="164" fontId="3" fillId="4" borderId="1" xfId="0" applyNumberFormat="1" applyFont="1" applyFill="1" applyBorder="1"/>
    <xf numFmtId="0" fontId="3" fillId="0" borderId="1" xfId="0" applyFont="1" applyBorder="1" applyAlignment="1">
      <alignment horizontal="center" vertical="center"/>
    </xf>
    <xf numFmtId="0" fontId="3" fillId="0" borderId="1" xfId="0" applyFont="1" applyBorder="1" applyAlignment="1">
      <alignment horizontal="left" vertical="center"/>
    </xf>
    <xf numFmtId="3" fontId="3" fillId="0" borderId="1" xfId="0" applyNumberFormat="1" applyFont="1" applyBorder="1" applyAlignment="1">
      <alignment horizontal="left" vertical="center"/>
    </xf>
    <xf numFmtId="165" fontId="4" fillId="0" borderId="1" xfId="0" applyNumberFormat="1" applyFont="1" applyBorder="1" applyAlignment="1">
      <alignment horizontal="center" vertical="center"/>
    </xf>
    <xf numFmtId="164" fontId="3" fillId="0" borderId="1" xfId="0" applyNumberFormat="1" applyFont="1" applyBorder="1" applyAlignment="1">
      <alignment horizontal="center" vertical="center"/>
    </xf>
    <xf numFmtId="0" fontId="3" fillId="4" borderId="1" xfId="0" applyFont="1" applyFill="1" applyBorder="1" applyAlignment="1">
      <alignment horizontal="center" vertical="center"/>
    </xf>
    <xf numFmtId="0" fontId="3" fillId="4" borderId="1" xfId="0" applyFont="1" applyFill="1" applyBorder="1" applyAlignment="1">
      <alignment horizontal="left" vertical="center"/>
    </xf>
    <xf numFmtId="3" fontId="3" fillId="4" borderId="1" xfId="0" applyNumberFormat="1" applyFont="1" applyFill="1" applyBorder="1" applyAlignment="1">
      <alignment horizontal="left" vertical="center"/>
    </xf>
    <xf numFmtId="165" fontId="4" fillId="4" borderId="1" xfId="0" applyNumberFormat="1" applyFont="1" applyFill="1" applyBorder="1" applyAlignment="1">
      <alignment horizontal="center" vertical="center"/>
    </xf>
    <xf numFmtId="164" fontId="3" fillId="4"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horizontal="left" vertical="center"/>
    </xf>
    <xf numFmtId="3" fontId="3" fillId="3" borderId="1" xfId="0" applyNumberFormat="1" applyFont="1" applyFill="1" applyBorder="1" applyAlignment="1">
      <alignment horizontal="left" vertical="center"/>
    </xf>
    <xf numFmtId="165" fontId="4" fillId="3" borderId="1" xfId="0" applyNumberFormat="1" applyFont="1" applyFill="1" applyBorder="1" applyAlignment="1">
      <alignment horizontal="center" vertical="center"/>
    </xf>
    <xf numFmtId="164" fontId="3" fillId="3" borderId="1" xfId="0" applyNumberFormat="1" applyFont="1" applyFill="1" applyBorder="1" applyAlignment="1">
      <alignment horizontal="center" vertical="center"/>
    </xf>
    <xf numFmtId="165" fontId="3" fillId="0" borderId="1" xfId="0" applyNumberFormat="1" applyFont="1" applyBorder="1"/>
    <xf numFmtId="165" fontId="3" fillId="4" borderId="1" xfId="0" applyNumberFormat="1" applyFont="1" applyFill="1" applyBorder="1"/>
    <xf numFmtId="165" fontId="3" fillId="3" borderId="1" xfId="0" applyNumberFormat="1" applyFont="1" applyFill="1" applyBorder="1"/>
    <xf numFmtId="0" fontId="7" fillId="0" borderId="0" xfId="0" applyFont="1"/>
    <xf numFmtId="0" fontId="5" fillId="2" borderId="1" xfId="0" applyFont="1" applyFill="1" applyBorder="1" applyAlignment="1">
      <alignment horizontal="center" wrapText="1"/>
    </xf>
    <xf numFmtId="0" fontId="4" fillId="4" borderId="1" xfId="0" applyFont="1" applyFill="1" applyBorder="1"/>
    <xf numFmtId="0" fontId="8" fillId="0" borderId="0" xfId="0" applyFont="1"/>
    <xf numFmtId="0" fontId="3" fillId="0" borderId="1" xfId="0" applyFont="1" applyBorder="1" applyAlignment="1">
      <alignment horizontal="center"/>
    </xf>
    <xf numFmtId="0" fontId="3" fillId="0" borderId="1" xfId="0" applyFont="1" applyBorder="1" applyAlignment="1">
      <alignment horizontal="left"/>
    </xf>
    <xf numFmtId="3" fontId="3" fillId="0" borderId="1" xfId="0" applyNumberFormat="1" applyFont="1" applyBorder="1" applyAlignment="1">
      <alignment horizontal="center"/>
    </xf>
    <xf numFmtId="2" fontId="3" fillId="0" borderId="1" xfId="0" applyNumberFormat="1" applyFont="1" applyBorder="1" applyAlignment="1">
      <alignment horizontal="center"/>
    </xf>
    <xf numFmtId="0" fontId="3" fillId="6" borderId="1" xfId="0" applyFont="1" applyFill="1" applyBorder="1" applyAlignment="1">
      <alignment horizontal="center"/>
    </xf>
    <xf numFmtId="0" fontId="3" fillId="6" borderId="1" xfId="0" applyFont="1" applyFill="1" applyBorder="1" applyAlignment="1">
      <alignment horizontal="left"/>
    </xf>
    <xf numFmtId="3" fontId="3" fillId="6" borderId="1" xfId="0" applyNumberFormat="1" applyFont="1" applyFill="1" applyBorder="1" applyAlignment="1">
      <alignment horizontal="center"/>
    </xf>
    <xf numFmtId="2" fontId="3" fillId="6" borderId="1" xfId="0" applyNumberFormat="1" applyFont="1" applyFill="1" applyBorder="1" applyAlignment="1">
      <alignment horizontal="center"/>
    </xf>
    <xf numFmtId="0" fontId="3" fillId="4" borderId="1" xfId="0" applyFont="1" applyFill="1" applyBorder="1" applyAlignment="1">
      <alignment horizontal="center"/>
    </xf>
    <xf numFmtId="0" fontId="3" fillId="4" borderId="1" xfId="0" applyFont="1" applyFill="1" applyBorder="1" applyAlignment="1">
      <alignment horizontal="left"/>
    </xf>
    <xf numFmtId="3" fontId="3" fillId="4" borderId="1" xfId="0" applyNumberFormat="1" applyFont="1" applyFill="1" applyBorder="1" applyAlignment="1">
      <alignment horizontal="center"/>
    </xf>
    <xf numFmtId="2" fontId="3" fillId="4" borderId="1" xfId="0" applyNumberFormat="1" applyFont="1" applyFill="1" applyBorder="1" applyAlignment="1">
      <alignment horizontal="center"/>
    </xf>
    <xf numFmtId="3" fontId="6" fillId="5" borderId="0" xfId="0" applyNumberFormat="1" applyFont="1" applyFill="1"/>
    <xf numFmtId="0" fontId="6" fillId="5" borderId="1" xfId="0" applyFont="1" applyFill="1" applyBorder="1"/>
    <xf numFmtId="3" fontId="6" fillId="5" borderId="1" xfId="0" applyNumberFormat="1" applyFont="1" applyFill="1" applyBorder="1"/>
    <xf numFmtId="166" fontId="3" fillId="0" borderId="1" xfId="0" applyNumberFormat="1" applyFont="1" applyBorder="1"/>
    <xf numFmtId="3" fontId="9" fillId="0" borderId="1" xfId="0" applyNumberFormat="1" applyFont="1" applyBorder="1"/>
    <xf numFmtId="167" fontId="3" fillId="0" borderId="1" xfId="0" applyNumberFormat="1" applyFont="1" applyBorder="1"/>
    <xf numFmtId="168" fontId="3" fillId="0" borderId="1" xfId="0" applyNumberFormat="1" applyFont="1" applyBorder="1"/>
    <xf numFmtId="0" fontId="3" fillId="0" borderId="1" xfId="0" applyFont="1" applyBorder="1" applyAlignment="1">
      <alignment horizontal="center" vertical="top" wrapText="1"/>
    </xf>
    <xf numFmtId="0" fontId="3" fillId="0" borderId="1" xfId="0" applyFont="1" applyBorder="1" applyAlignment="1">
      <alignment horizontal="left" vertical="top" wrapText="1"/>
    </xf>
    <xf numFmtId="3" fontId="3" fillId="0" borderId="1" xfId="0" applyNumberFormat="1" applyFont="1" applyBorder="1" applyAlignment="1">
      <alignment horizontal="center" vertical="top" wrapText="1"/>
    </xf>
    <xf numFmtId="165" fontId="3" fillId="0" borderId="1" xfId="0" applyNumberFormat="1" applyFont="1" applyBorder="1" applyAlignment="1">
      <alignment horizontal="center" vertical="top" wrapText="1"/>
    </xf>
    <xf numFmtId="0" fontId="3" fillId="4" borderId="1" xfId="0" applyFont="1" applyFill="1" applyBorder="1" applyAlignment="1">
      <alignment horizontal="center" vertical="top" wrapText="1"/>
    </xf>
    <xf numFmtId="0" fontId="3" fillId="4" borderId="1" xfId="0" applyFont="1" applyFill="1" applyBorder="1" applyAlignment="1">
      <alignment horizontal="left" vertical="top" wrapText="1"/>
    </xf>
    <xf numFmtId="3" fontId="3" fillId="4" borderId="1" xfId="0" applyNumberFormat="1" applyFont="1" applyFill="1" applyBorder="1" applyAlignment="1">
      <alignment horizontal="center" vertical="top" wrapText="1"/>
    </xf>
    <xf numFmtId="165" fontId="3" fillId="4" borderId="1" xfId="0" applyNumberFormat="1" applyFont="1" applyFill="1" applyBorder="1" applyAlignment="1">
      <alignment horizontal="center" vertical="top" wrapText="1"/>
    </xf>
    <xf numFmtId="0" fontId="10" fillId="4" borderId="1" xfId="0" applyFont="1" applyFill="1" applyBorder="1" applyAlignment="1">
      <alignment horizontal="left" vertical="top" wrapText="1"/>
    </xf>
    <xf numFmtId="3" fontId="6" fillId="5" borderId="1" xfId="0" applyNumberFormat="1" applyFont="1" applyFill="1" applyBorder="1" applyAlignment="1">
      <alignment horizontal="center" vertical="top" wrapText="1"/>
    </xf>
    <xf numFmtId="0" fontId="3" fillId="3" borderId="1" xfId="0" applyFont="1" applyFill="1" applyBorder="1" applyAlignment="1">
      <alignment horizontal="center" vertical="top" wrapText="1"/>
    </xf>
    <xf numFmtId="0" fontId="3" fillId="3" borderId="1" xfId="0" applyFont="1" applyFill="1" applyBorder="1" applyAlignment="1">
      <alignment horizontal="left" vertical="top" wrapText="1"/>
    </xf>
    <xf numFmtId="3" fontId="3" fillId="3" borderId="1" xfId="0" applyNumberFormat="1" applyFont="1" applyFill="1" applyBorder="1" applyAlignment="1">
      <alignment horizontal="center" vertical="top" wrapText="1"/>
    </xf>
    <xf numFmtId="165" fontId="3" fillId="3" borderId="1" xfId="0" applyNumberFormat="1" applyFont="1" applyFill="1" applyBorder="1" applyAlignment="1">
      <alignment horizontal="center" vertical="top" wrapText="1"/>
    </xf>
    <xf numFmtId="0" fontId="10" fillId="0" borderId="1" xfId="0" applyFont="1" applyBorder="1" applyAlignment="1">
      <alignment horizontal="left" vertical="top" wrapText="1"/>
    </xf>
    <xf numFmtId="0" fontId="10" fillId="3" borderId="1" xfId="0" applyFont="1" applyFill="1" applyBorder="1" applyAlignment="1">
      <alignment horizontal="left" vertical="top" wrapText="1"/>
    </xf>
    <xf numFmtId="0" fontId="11" fillId="0" borderId="0" xfId="0" applyFont="1"/>
    <xf numFmtId="0" fontId="12" fillId="0" borderId="0" xfId="0" applyFont="1"/>
    <xf numFmtId="0" fontId="4" fillId="0" borderId="0" xfId="0" applyFont="1" applyAlignment="1">
      <alignment horizontal="right"/>
    </xf>
    <xf numFmtId="0" fontId="4" fillId="7" borderId="2" xfId="0" applyFont="1" applyFill="1" applyBorder="1" applyAlignment="1">
      <alignment horizontal="center"/>
    </xf>
    <xf numFmtId="0" fontId="4" fillId="8" borderId="2" xfId="0" applyFont="1" applyFill="1" applyBorder="1" applyAlignment="1">
      <alignment horizontal="center"/>
    </xf>
    <xf numFmtId="0" fontId="4" fillId="9" borderId="2" xfId="0" applyFont="1" applyFill="1" applyBorder="1" applyAlignment="1">
      <alignment horizontal="center"/>
    </xf>
    <xf numFmtId="0" fontId="4" fillId="8" borderId="0" xfId="0" applyFont="1" applyFill="1"/>
    <xf numFmtId="0" fontId="4" fillId="10" borderId="0" xfId="0" applyFont="1" applyFill="1"/>
    <xf numFmtId="0" fontId="13" fillId="0" borderId="0" xfId="0" applyFont="1"/>
    <xf numFmtId="165" fontId="0" fillId="0" borderId="0" xfId="0" applyNumberFormat="1"/>
    <xf numFmtId="0" fontId="11" fillId="0" borderId="1" xfId="0" applyFont="1" applyBorder="1"/>
    <xf numFmtId="0" fontId="12" fillId="0" borderId="1" xfId="0" applyFont="1" applyBorder="1"/>
    <xf numFmtId="0" fontId="4" fillId="0" borderId="1" xfId="0" applyFont="1" applyBorder="1" applyAlignment="1">
      <alignment horizontal="right"/>
    </xf>
    <xf numFmtId="3" fontId="4" fillId="7" borderId="2" xfId="0" applyNumberFormat="1" applyFont="1" applyFill="1" applyBorder="1" applyAlignment="1">
      <alignment horizontal="center"/>
    </xf>
    <xf numFmtId="165" fontId="4" fillId="7" borderId="2" xfId="0" applyNumberFormat="1" applyFont="1" applyFill="1" applyBorder="1" applyAlignment="1">
      <alignment horizontal="center"/>
    </xf>
    <xf numFmtId="164" fontId="4" fillId="8" borderId="2" xfId="0" applyNumberFormat="1" applyFont="1" applyFill="1" applyBorder="1" applyAlignment="1">
      <alignment horizontal="center"/>
    </xf>
    <xf numFmtId="0" fontId="4" fillId="0" borderId="1" xfId="0" applyFont="1" applyBorder="1"/>
    <xf numFmtId="3" fontId="4" fillId="0" borderId="1" xfId="0" applyNumberFormat="1" applyFont="1" applyBorder="1"/>
    <xf numFmtId="165" fontId="4" fillId="0" borderId="1" xfId="0" applyNumberFormat="1" applyFont="1" applyBorder="1"/>
    <xf numFmtId="164" fontId="4" fillId="8" borderId="1" xfId="0" applyNumberFormat="1" applyFont="1" applyFill="1" applyBorder="1"/>
    <xf numFmtId="0" fontId="13" fillId="0" borderId="1" xfId="0" applyFont="1" applyBorder="1"/>
    <xf numFmtId="0" fontId="16" fillId="0" borderId="0" xfId="0" applyFont="1"/>
    <xf numFmtId="0" fontId="14" fillId="11" borderId="3" xfId="0" applyFont="1" applyFill="1" applyBorder="1" applyAlignment="1">
      <alignment horizontal="center" vertical="center" wrapText="1"/>
    </xf>
    <xf numFmtId="0" fontId="14" fillId="12" borderId="3" xfId="0" applyFont="1" applyFill="1" applyBorder="1" applyAlignment="1">
      <alignment horizontal="center" vertical="center" wrapText="1"/>
    </xf>
    <xf numFmtId="165" fontId="15" fillId="0" borderId="3" xfId="0" applyNumberFormat="1" applyFont="1" applyBorder="1" applyAlignment="1">
      <alignment horizontal="center"/>
    </xf>
    <xf numFmtId="3" fontId="3" fillId="0" borderId="3" xfId="0" applyNumberFormat="1" applyFont="1" applyBorder="1" applyAlignment="1">
      <alignment horizontal="center"/>
    </xf>
    <xf numFmtId="3" fontId="3" fillId="13" borderId="3" xfId="0" applyNumberFormat="1" applyFont="1" applyFill="1" applyBorder="1" applyAlignment="1">
      <alignment horizontal="center"/>
    </xf>
    <xf numFmtId="0" fontId="0" fillId="0" borderId="3" xfId="0" applyBorder="1" applyAlignment="1">
      <alignment horizontal="center"/>
    </xf>
    <xf numFmtId="165" fontId="15" fillId="14" borderId="3" xfId="0" applyNumberFormat="1" applyFont="1" applyFill="1" applyBorder="1" applyAlignment="1">
      <alignment horizontal="center"/>
    </xf>
    <xf numFmtId="3" fontId="3" fillId="14" borderId="3" xfId="0" applyNumberFormat="1" applyFont="1" applyFill="1" applyBorder="1" applyAlignment="1">
      <alignment horizontal="center"/>
    </xf>
    <xf numFmtId="0" fontId="0" fillId="14" borderId="3" xfId="0" applyFill="1" applyBorder="1" applyAlignment="1">
      <alignment horizontal="center"/>
    </xf>
    <xf numFmtId="0" fontId="4" fillId="9" borderId="3" xfId="0" applyFont="1" applyFill="1" applyBorder="1" applyAlignment="1">
      <alignment horizontal="center"/>
    </xf>
    <xf numFmtId="0" fontId="4" fillId="7" borderId="3" xfId="0" applyFont="1" applyFill="1" applyBorder="1" applyAlignment="1">
      <alignment horizontal="center"/>
    </xf>
    <xf numFmtId="3" fontId="3" fillId="10" borderId="3" xfId="0" applyNumberFormat="1" applyFont="1" applyFill="1" applyBorder="1" applyAlignment="1">
      <alignment horizontal="center"/>
    </xf>
    <xf numFmtId="165" fontId="0" fillId="0" borderId="3" xfId="0" applyNumberFormat="1" applyBorder="1" applyAlignment="1">
      <alignment horizontal="center"/>
    </xf>
    <xf numFmtId="165" fontId="18" fillId="13" borderId="3" xfId="0" applyNumberFormat="1" applyFont="1" applyFill="1" applyBorder="1" applyAlignment="1">
      <alignment horizontal="center"/>
    </xf>
    <xf numFmtId="0" fontId="3" fillId="0" borderId="3" xfId="0" applyFont="1" applyBorder="1" applyAlignment="1">
      <alignment horizontal="center"/>
    </xf>
    <xf numFmtId="0" fontId="3" fillId="9" borderId="3" xfId="0" applyFont="1" applyFill="1" applyBorder="1" applyAlignment="1">
      <alignment horizontal="center"/>
    </xf>
    <xf numFmtId="165" fontId="3" fillId="0" borderId="3" xfId="0" applyNumberFormat="1" applyFont="1" applyBorder="1" applyAlignment="1">
      <alignment horizontal="center"/>
    </xf>
    <xf numFmtId="3" fontId="3" fillId="13" borderId="4" xfId="0" applyNumberFormat="1" applyFont="1" applyFill="1" applyBorder="1" applyAlignment="1">
      <alignment horizontal="center"/>
    </xf>
    <xf numFmtId="0" fontId="19" fillId="0" borderId="0" xfId="0" applyFont="1"/>
    <xf numFmtId="0" fontId="20" fillId="0" borderId="0" xfId="0" applyFont="1"/>
    <xf numFmtId="0" fontId="21" fillId="0" borderId="0" xfId="0" applyFont="1"/>
    <xf numFmtId="0" fontId="22" fillId="0" borderId="0" xfId="0" applyFont="1" applyAlignment="1">
      <alignment vertical="top" wrapText="1"/>
    </xf>
    <xf numFmtId="0" fontId="3" fillId="0" borderId="0" xfId="0" applyFont="1"/>
    <xf numFmtId="0" fontId="0" fillId="0" borderId="0" xfId="0"/>
    <xf numFmtId="0" fontId="3" fillId="0" borderId="0" xfId="0" applyFont="1" applyAlignment="1">
      <alignment wrapText="1"/>
    </xf>
    <xf numFmtId="0" fontId="17" fillId="0" borderId="0" xfId="0" applyFo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rPr lang="en-US"/>
              <a:t>Top 25 U.S. Counties &amp; County-Equivalents (Pop &gt;200K) by Overdose Death Rate</a:t>
            </a:r>
          </a:p>
        </c:rich>
      </c:tx>
      <c:overlay val="1"/>
    </c:title>
    <c:autoTitleDeleted val="0"/>
    <c:plotArea>
      <c:layout/>
      <c:barChart>
        <c:barDir val="bar"/>
        <c:grouping val="clustered"/>
        <c:varyColors val="1"/>
        <c:ser>
          <c:idx val="0"/>
          <c:order val="0"/>
          <c:tx>
            <c:strRef>
              <c:f>'Top 25 (Pop&gt; 200K)'!$F$5</c:f>
              <c:strCache>
                <c:ptCount val="1"/>
                <c:pt idx="0">
                  <c:v>Rate per 100,000</c:v>
                </c:pt>
              </c:strCache>
            </c:strRef>
          </c:tx>
          <c:spPr>
            <a:ln>
              <a:prstDash val="solid"/>
            </a:ln>
          </c:spPr>
          <c:invertIfNegative val="1"/>
          <c:dLbls>
            <c:spPr>
              <a:noFill/>
              <a:ln>
                <a:noFill/>
                <a:prstDash val="solid"/>
              </a:ln>
            </c:spPr>
            <c:showLegendKey val="1"/>
            <c:showVal val="1"/>
            <c:showCatName val="1"/>
            <c:showSerName val="1"/>
            <c:showPercent val="1"/>
            <c:showBubbleSize val="1"/>
            <c:showLeaderLines val="0"/>
            <c:extLst>
              <c:ext xmlns:c15="http://schemas.microsoft.com/office/drawing/2012/chart" uri="{CE6537A1-D6FC-4f65-9D91-7224C49458BB}">
                <c15:showLeaderLines val="0"/>
              </c:ext>
            </c:extLst>
          </c:dLbls>
          <c:cat>
            <c:strRef>
              <c:f>'Top 25 (Pop&gt; 200K)'!$B$6:$B$30</c:f>
              <c:strCache>
                <c:ptCount val="25"/>
                <c:pt idx="0">
                  <c:v>Baltimore city</c:v>
                </c:pt>
                <c:pt idx="1">
                  <c:v>St. Louis city</c:v>
                </c:pt>
                <c:pt idx="2">
                  <c:v>Anchorage Municipality</c:v>
                </c:pt>
                <c:pt idx="3">
                  <c:v>Butte County</c:v>
                </c:pt>
                <c:pt idx="4">
                  <c:v>Spokane County</c:v>
                </c:pt>
                <c:pt idx="5">
                  <c:v>San Francisco County</c:v>
                </c:pt>
                <c:pt idx="6">
                  <c:v>El Paso County</c:v>
                </c:pt>
                <c:pt idx="7">
                  <c:v>Philadelphia County</c:v>
                </c:pt>
                <c:pt idx="8">
                  <c:v>Multnomah County</c:v>
                </c:pt>
                <c:pt idx="9">
                  <c:v>Denver County</c:v>
                </c:pt>
                <c:pt idx="10">
                  <c:v>Orleans Parish</c:v>
                </c:pt>
                <c:pt idx="11">
                  <c:v>Yakima County</c:v>
                </c:pt>
                <c:pt idx="12">
                  <c:v>Mohave County</c:v>
                </c:pt>
                <c:pt idx="13">
                  <c:v>Pierce County</c:v>
                </c:pt>
                <c:pt idx="14">
                  <c:v>Knox County</c:v>
                </c:pt>
                <c:pt idx="15">
                  <c:v>Bernalillo County</c:v>
                </c:pt>
                <c:pt idx="16">
                  <c:v>Davidson County</c:v>
                </c:pt>
                <c:pt idx="17">
                  <c:v>Bronx County</c:v>
                </c:pt>
                <c:pt idx="18">
                  <c:v>Atlantic County</c:v>
                </c:pt>
                <c:pt idx="19">
                  <c:v>King County</c:v>
                </c:pt>
                <c:pt idx="20">
                  <c:v>Marion County</c:v>
                </c:pt>
                <c:pt idx="21">
                  <c:v>District of Columbia</c:v>
                </c:pt>
                <c:pt idx="22">
                  <c:v>Richmond city</c:v>
                </c:pt>
                <c:pt idx="23">
                  <c:v>Milwaukee County</c:v>
                </c:pt>
                <c:pt idx="24">
                  <c:v>Thurston County</c:v>
                </c:pt>
              </c:strCache>
            </c:strRef>
          </c:cat>
          <c:val>
            <c:numRef>
              <c:f>'Top 25 (Pop&gt; 200K)'!$F$6:$F$30</c:f>
              <c:numCache>
                <c:formatCode>0.0</c:formatCode>
                <c:ptCount val="25"/>
                <c:pt idx="0">
                  <c:v>87.634244928915962</c:v>
                </c:pt>
                <c:pt idx="1">
                  <c:v>64.355816156885169</c:v>
                </c:pt>
                <c:pt idx="2">
                  <c:v>63.535911602209943</c:v>
                </c:pt>
                <c:pt idx="3">
                  <c:v>60.959804928624237</c:v>
                </c:pt>
                <c:pt idx="4">
                  <c:v>57.919190138628331</c:v>
                </c:pt>
                <c:pt idx="5">
                  <c:v>57.15832493480567</c:v>
                </c:pt>
                <c:pt idx="6">
                  <c:v>55.395259122284038</c:v>
                </c:pt>
                <c:pt idx="7">
                  <c:v>55.27613926029089</c:v>
                </c:pt>
                <c:pt idx="8">
                  <c:v>53.147580654280638</c:v>
                </c:pt>
                <c:pt idx="9">
                  <c:v>50.753135377815944</c:v>
                </c:pt>
                <c:pt idx="10">
                  <c:v>48.52481796300534</c:v>
                </c:pt>
                <c:pt idx="11">
                  <c:v>47.577971785875917</c:v>
                </c:pt>
                <c:pt idx="12">
                  <c:v>47.244998432525755</c:v>
                </c:pt>
                <c:pt idx="13">
                  <c:v>46.219067756090823</c:v>
                </c:pt>
                <c:pt idx="14">
                  <c:v>45.979461191756059</c:v>
                </c:pt>
                <c:pt idx="15">
                  <c:v>45.850595536712483</c:v>
                </c:pt>
                <c:pt idx="16">
                  <c:v>42.220409729885333</c:v>
                </c:pt>
                <c:pt idx="17">
                  <c:v>42.030036310484974</c:v>
                </c:pt>
                <c:pt idx="18">
                  <c:v>39.768696661579135</c:v>
                </c:pt>
                <c:pt idx="19">
                  <c:v>39.355425643243279</c:v>
                </c:pt>
                <c:pt idx="20">
                  <c:v>39.220560130721616</c:v>
                </c:pt>
                <c:pt idx="21">
                  <c:v>38.447846208615168</c:v>
                </c:pt>
                <c:pt idx="22">
                  <c:v>36.806402602127065</c:v>
                </c:pt>
                <c:pt idx="23">
                  <c:v>36.767091290524903</c:v>
                </c:pt>
                <c:pt idx="24">
                  <c:v>36.644305937037821</c:v>
                </c:pt>
              </c:numCache>
            </c:numRef>
          </c:val>
          <c:extLst>
            <c:ext xmlns:c16="http://schemas.microsoft.com/office/drawing/2014/chart" uri="{C3380CC4-5D6E-409C-BE32-E72D297353CC}">
              <c16:uniqueId val="{00000000-439C-4DDC-BFF4-48E6160610B2}"/>
            </c:ext>
          </c:extLst>
        </c:ser>
        <c:dLbls>
          <c:showLegendKey val="1"/>
          <c:showVal val="1"/>
          <c:showCatName val="1"/>
          <c:showSerName val="1"/>
          <c:showPercent val="1"/>
          <c:showBubbleSize val="1"/>
        </c:dLbls>
        <c:gapWidth val="150"/>
        <c:axId val="10"/>
        <c:axId val="100"/>
      </c:barChart>
      <c:catAx>
        <c:axId val="10"/>
        <c:scaling>
          <c:orientation val="minMax"/>
        </c:scaling>
        <c:delete val="1"/>
        <c:axPos val="l"/>
        <c:title>
          <c:tx>
            <c:rich>
              <a:bodyPr/>
              <a:lstStyle/>
              <a:p>
                <a:pPr>
                  <a:defRPr/>
                </a:pPr>
                <a:r>
                  <a:rPr lang="en-US"/>
                  <a:t>Rate per 100,000</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b"/>
        <c:majorGridlines/>
        <c:numFmt formatCode="0.0" sourceLinked="1"/>
        <c:majorTickMark val="none"/>
        <c:minorTickMark val="none"/>
        <c:tickLblPos val="nextTo"/>
        <c:crossAx val="10"/>
        <c:crosses val="autoZero"/>
        <c:crossBetween val="between"/>
      </c:valAx>
    </c:plotArea>
    <c:plotVisOnly val="1"/>
    <c:dispBlanksAs val="gap"/>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rPr lang="en-US"/>
              <a:t>12-Month-Ending Overdose Rate per 100,000 — Top 25 (Pop&gt; 200K)</a:t>
            </a:r>
          </a:p>
        </c:rich>
      </c:tx>
      <c:overlay val="1"/>
    </c:title>
    <c:autoTitleDeleted val="0"/>
    <c:plotArea>
      <c:layout/>
      <c:lineChart>
        <c:grouping val="standard"/>
        <c:varyColors val="1"/>
        <c:ser>
          <c:idx val="0"/>
          <c:order val="0"/>
          <c:tx>
            <c:strRef>
              <c:f>'Top 25 (Pop&gt; 200K)'!$B$41</c:f>
              <c:strCache>
                <c:ptCount val="1"/>
                <c:pt idx="0">
                  <c:v>Baltimore (city), MD</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200K)'!$B$42:$B$111</c:f>
              <c:numCache>
                <c:formatCode>0.0</c:formatCode>
                <c:ptCount val="70"/>
                <c:pt idx="0">
                  <c:v>120.19</c:v>
                </c:pt>
                <c:pt idx="1">
                  <c:v>117.9</c:v>
                </c:pt>
                <c:pt idx="2">
                  <c:v>117.9</c:v>
                </c:pt>
                <c:pt idx="3">
                  <c:v>117.2</c:v>
                </c:pt>
                <c:pt idx="4">
                  <c:v>121.24</c:v>
                </c:pt>
                <c:pt idx="5">
                  <c:v>124.06</c:v>
                </c:pt>
                <c:pt idx="6">
                  <c:v>126.7</c:v>
                </c:pt>
                <c:pt idx="7">
                  <c:v>131.44999999999999</c:v>
                </c:pt>
                <c:pt idx="8">
                  <c:v>137.08000000000001</c:v>
                </c:pt>
                <c:pt idx="9">
                  <c:v>142.88999999999999</c:v>
                </c:pt>
                <c:pt idx="10">
                  <c:v>143.41999999999999</c:v>
                </c:pt>
                <c:pt idx="11">
                  <c:v>146.41</c:v>
                </c:pt>
                <c:pt idx="12">
                  <c:v>150.46</c:v>
                </c:pt>
                <c:pt idx="13">
                  <c:v>153.80000000000001</c:v>
                </c:pt>
                <c:pt idx="14">
                  <c:v>152.74</c:v>
                </c:pt>
                <c:pt idx="15">
                  <c:v>156.26</c:v>
                </c:pt>
                <c:pt idx="16">
                  <c:v>158.55000000000001</c:v>
                </c:pt>
                <c:pt idx="17">
                  <c:v>163.30000000000001</c:v>
                </c:pt>
                <c:pt idx="18">
                  <c:v>165.77</c:v>
                </c:pt>
                <c:pt idx="19">
                  <c:v>162.41999999999999</c:v>
                </c:pt>
                <c:pt idx="20">
                  <c:v>159.96</c:v>
                </c:pt>
                <c:pt idx="21">
                  <c:v>155.56</c:v>
                </c:pt>
                <c:pt idx="22">
                  <c:v>153.80000000000001</c:v>
                </c:pt>
                <c:pt idx="23">
                  <c:v>154.33000000000001</c:v>
                </c:pt>
                <c:pt idx="24">
                  <c:v>152.04</c:v>
                </c:pt>
                <c:pt idx="25">
                  <c:v>150.28</c:v>
                </c:pt>
                <c:pt idx="26">
                  <c:v>151.34</c:v>
                </c:pt>
                <c:pt idx="27">
                  <c:v>147.29</c:v>
                </c:pt>
                <c:pt idx="28">
                  <c:v>144.30000000000001</c:v>
                </c:pt>
                <c:pt idx="29">
                  <c:v>138.84</c:v>
                </c:pt>
                <c:pt idx="30">
                  <c:v>134.97</c:v>
                </c:pt>
                <c:pt idx="31">
                  <c:v>135.66999999999999</c:v>
                </c:pt>
                <c:pt idx="32">
                  <c:v>132.86000000000001</c:v>
                </c:pt>
                <c:pt idx="33">
                  <c:v>133.21</c:v>
                </c:pt>
                <c:pt idx="34">
                  <c:v>138.13999999999999</c:v>
                </c:pt>
                <c:pt idx="35">
                  <c:v>138.49</c:v>
                </c:pt>
                <c:pt idx="36">
                  <c:v>136.38</c:v>
                </c:pt>
                <c:pt idx="37">
                  <c:v>136.72999999999999</c:v>
                </c:pt>
                <c:pt idx="38">
                  <c:v>136.38</c:v>
                </c:pt>
                <c:pt idx="39">
                  <c:v>140.43</c:v>
                </c:pt>
                <c:pt idx="40">
                  <c:v>142.36000000000001</c:v>
                </c:pt>
                <c:pt idx="41">
                  <c:v>144.47</c:v>
                </c:pt>
                <c:pt idx="42">
                  <c:v>147.99</c:v>
                </c:pt>
                <c:pt idx="43">
                  <c:v>145.71</c:v>
                </c:pt>
                <c:pt idx="44">
                  <c:v>147.99</c:v>
                </c:pt>
                <c:pt idx="45">
                  <c:v>151.86000000000001</c:v>
                </c:pt>
                <c:pt idx="46">
                  <c:v>149.22</c:v>
                </c:pt>
                <c:pt idx="47">
                  <c:v>148.87</c:v>
                </c:pt>
                <c:pt idx="48">
                  <c:v>150.97999999999999</c:v>
                </c:pt>
                <c:pt idx="49">
                  <c:v>150.46</c:v>
                </c:pt>
                <c:pt idx="50">
                  <c:v>146.58000000000001</c:v>
                </c:pt>
                <c:pt idx="51">
                  <c:v>143.77000000000001</c:v>
                </c:pt>
                <c:pt idx="52">
                  <c:v>138.66999999999999</c:v>
                </c:pt>
                <c:pt idx="53">
                  <c:v>135.66999999999999</c:v>
                </c:pt>
                <c:pt idx="54">
                  <c:v>132.51</c:v>
                </c:pt>
                <c:pt idx="55">
                  <c:v>131.97999999999999</c:v>
                </c:pt>
                <c:pt idx="56">
                  <c:v>129.69</c:v>
                </c:pt>
                <c:pt idx="57">
                  <c:v>121.77</c:v>
                </c:pt>
                <c:pt idx="58">
                  <c:v>116.32</c:v>
                </c:pt>
                <c:pt idx="59">
                  <c:v>111.74</c:v>
                </c:pt>
                <c:pt idx="60">
                  <c:v>109.45</c:v>
                </c:pt>
                <c:pt idx="61">
                  <c:v>105.58</c:v>
                </c:pt>
                <c:pt idx="62">
                  <c:v>106.64</c:v>
                </c:pt>
                <c:pt idx="63">
                  <c:v>101.54</c:v>
                </c:pt>
                <c:pt idx="64">
                  <c:v>99.25</c:v>
                </c:pt>
                <c:pt idx="65">
                  <c:v>93.27</c:v>
                </c:pt>
                <c:pt idx="66">
                  <c:v>89.75</c:v>
                </c:pt>
                <c:pt idx="67">
                  <c:v>88.16</c:v>
                </c:pt>
                <c:pt idx="68">
                  <c:v>87.63</c:v>
                </c:pt>
                <c:pt idx="69">
                  <c:v>#N/A</c:v>
                </c:pt>
              </c:numCache>
            </c:numRef>
          </c:val>
          <c:smooth val="1"/>
          <c:extLst>
            <c:ext xmlns:c16="http://schemas.microsoft.com/office/drawing/2014/chart" uri="{C3380CC4-5D6E-409C-BE32-E72D297353CC}">
              <c16:uniqueId val="{00000000-FE20-4D29-AAA6-6A589EC872A3}"/>
            </c:ext>
          </c:extLst>
        </c:ser>
        <c:ser>
          <c:idx val="1"/>
          <c:order val="1"/>
          <c:tx>
            <c:strRef>
              <c:f>'Top 25 (Pop&gt; 200K)'!$C$41</c:f>
              <c:strCache>
                <c:ptCount val="1"/>
                <c:pt idx="0">
                  <c:v>St. Louis (city), MO</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200K)'!$C$42:$C$111</c:f>
              <c:numCache>
                <c:formatCode>0.0</c:formatCode>
                <c:ptCount val="70"/>
                <c:pt idx="0">
                  <c:v>88.67</c:v>
                </c:pt>
                <c:pt idx="1">
                  <c:v>89.03</c:v>
                </c:pt>
                <c:pt idx="2">
                  <c:v>93.67</c:v>
                </c:pt>
                <c:pt idx="3">
                  <c:v>97.25</c:v>
                </c:pt>
                <c:pt idx="4">
                  <c:v>104.4</c:v>
                </c:pt>
                <c:pt idx="5">
                  <c:v>107.62</c:v>
                </c:pt>
                <c:pt idx="6">
                  <c:v>108.33</c:v>
                </c:pt>
                <c:pt idx="7">
                  <c:v>105.83</c:v>
                </c:pt>
                <c:pt idx="8">
                  <c:v>102.97</c:v>
                </c:pt>
                <c:pt idx="9">
                  <c:v>105.47</c:v>
                </c:pt>
                <c:pt idx="10">
                  <c:v>107.97</c:v>
                </c:pt>
                <c:pt idx="11">
                  <c:v>106.54</c:v>
                </c:pt>
                <c:pt idx="12">
                  <c:v>104.76</c:v>
                </c:pt>
                <c:pt idx="13">
                  <c:v>105.47</c:v>
                </c:pt>
                <c:pt idx="14">
                  <c:v>102.97</c:v>
                </c:pt>
                <c:pt idx="15">
                  <c:v>101.9</c:v>
                </c:pt>
                <c:pt idx="16">
                  <c:v>102.97</c:v>
                </c:pt>
                <c:pt idx="17">
                  <c:v>104.76</c:v>
                </c:pt>
                <c:pt idx="18">
                  <c:v>104.04</c:v>
                </c:pt>
                <c:pt idx="19">
                  <c:v>104.76</c:v>
                </c:pt>
                <c:pt idx="20">
                  <c:v>106.54</c:v>
                </c:pt>
                <c:pt idx="21">
                  <c:v>104.04</c:v>
                </c:pt>
                <c:pt idx="22">
                  <c:v>102.61</c:v>
                </c:pt>
                <c:pt idx="23">
                  <c:v>101.54</c:v>
                </c:pt>
                <c:pt idx="24">
                  <c:v>104.04</c:v>
                </c:pt>
                <c:pt idx="25">
                  <c:v>104.04</c:v>
                </c:pt>
                <c:pt idx="26">
                  <c:v>107.26</c:v>
                </c:pt>
                <c:pt idx="27">
                  <c:v>104.04</c:v>
                </c:pt>
                <c:pt idx="28">
                  <c:v>100.11</c:v>
                </c:pt>
                <c:pt idx="29">
                  <c:v>99.75</c:v>
                </c:pt>
                <c:pt idx="30">
                  <c:v>103.33</c:v>
                </c:pt>
                <c:pt idx="31">
                  <c:v>105.83</c:v>
                </c:pt>
                <c:pt idx="32">
                  <c:v>110.12</c:v>
                </c:pt>
                <c:pt idx="33">
                  <c:v>111.19</c:v>
                </c:pt>
                <c:pt idx="34">
                  <c:v>110.84</c:v>
                </c:pt>
                <c:pt idx="35">
                  <c:v>111.19</c:v>
                </c:pt>
                <c:pt idx="36">
                  <c:v>113.34</c:v>
                </c:pt>
                <c:pt idx="37">
                  <c:v>116.56</c:v>
                </c:pt>
                <c:pt idx="38">
                  <c:v>118.34</c:v>
                </c:pt>
                <c:pt idx="39">
                  <c:v>120.13</c:v>
                </c:pt>
                <c:pt idx="40">
                  <c:v>121.56</c:v>
                </c:pt>
                <c:pt idx="41">
                  <c:v>122.28</c:v>
                </c:pt>
                <c:pt idx="42">
                  <c:v>116.2</c:v>
                </c:pt>
                <c:pt idx="43">
                  <c:v>115.13</c:v>
                </c:pt>
                <c:pt idx="44">
                  <c:v>113.34</c:v>
                </c:pt>
                <c:pt idx="45">
                  <c:v>110.84</c:v>
                </c:pt>
                <c:pt idx="46">
                  <c:v>110.12</c:v>
                </c:pt>
                <c:pt idx="47">
                  <c:v>109.05</c:v>
                </c:pt>
                <c:pt idx="48">
                  <c:v>106.9</c:v>
                </c:pt>
                <c:pt idx="49">
                  <c:v>100.82</c:v>
                </c:pt>
                <c:pt idx="50">
                  <c:v>94.39</c:v>
                </c:pt>
                <c:pt idx="51">
                  <c:v>92.96</c:v>
                </c:pt>
                <c:pt idx="52">
                  <c:v>84.38</c:v>
                </c:pt>
                <c:pt idx="53">
                  <c:v>77.94</c:v>
                </c:pt>
                <c:pt idx="54">
                  <c:v>79.37</c:v>
                </c:pt>
                <c:pt idx="55">
                  <c:v>74.010000000000005</c:v>
                </c:pt>
                <c:pt idx="56">
                  <c:v>67.930000000000007</c:v>
                </c:pt>
                <c:pt idx="57">
                  <c:v>68.650000000000006</c:v>
                </c:pt>
                <c:pt idx="58">
                  <c:v>67.22</c:v>
                </c:pt>
                <c:pt idx="59">
                  <c:v>65.069999999999993</c:v>
                </c:pt>
                <c:pt idx="60">
                  <c:v>60.78</c:v>
                </c:pt>
                <c:pt idx="61">
                  <c:v>64.709999999999994</c:v>
                </c:pt>
                <c:pt idx="62">
                  <c:v>66.14</c:v>
                </c:pt>
                <c:pt idx="63">
                  <c:v>64</c:v>
                </c:pt>
                <c:pt idx="64">
                  <c:v>65.069999999999993</c:v>
                </c:pt>
                <c:pt idx="65">
                  <c:v>67.22</c:v>
                </c:pt>
                <c:pt idx="66">
                  <c:v>66.5</c:v>
                </c:pt>
                <c:pt idx="67">
                  <c:v>66.14</c:v>
                </c:pt>
                <c:pt idx="68">
                  <c:v>64.36</c:v>
                </c:pt>
                <c:pt idx="69">
                  <c:v>#N/A</c:v>
                </c:pt>
              </c:numCache>
            </c:numRef>
          </c:val>
          <c:smooth val="1"/>
          <c:extLst>
            <c:ext xmlns:c16="http://schemas.microsoft.com/office/drawing/2014/chart" uri="{C3380CC4-5D6E-409C-BE32-E72D297353CC}">
              <c16:uniqueId val="{00000001-FE20-4D29-AAA6-6A589EC872A3}"/>
            </c:ext>
          </c:extLst>
        </c:ser>
        <c:ser>
          <c:idx val="2"/>
          <c:order val="2"/>
          <c:tx>
            <c:strRef>
              <c:f>'Top 25 (Pop&gt; 200K)'!$D$41</c:f>
              <c:strCache>
                <c:ptCount val="1"/>
                <c:pt idx="0">
                  <c:v>Anchorage Muni, AK</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200K)'!$D$42:$D$111</c:f>
              <c:numCache>
                <c:formatCode>0.0</c:formatCode>
                <c:ptCount val="70"/>
                <c:pt idx="0">
                  <c:v>18.649999999999999</c:v>
                </c:pt>
                <c:pt idx="1">
                  <c:v>18.3</c:v>
                </c:pt>
                <c:pt idx="2">
                  <c:v>18.3</c:v>
                </c:pt>
                <c:pt idx="3">
                  <c:v>18.649999999999999</c:v>
                </c:pt>
                <c:pt idx="4">
                  <c:v>20.37</c:v>
                </c:pt>
                <c:pt idx="5">
                  <c:v>22.1</c:v>
                </c:pt>
                <c:pt idx="6">
                  <c:v>24.17</c:v>
                </c:pt>
                <c:pt idx="7">
                  <c:v>26.24</c:v>
                </c:pt>
                <c:pt idx="8">
                  <c:v>27.28</c:v>
                </c:pt>
                <c:pt idx="9">
                  <c:v>26.93</c:v>
                </c:pt>
                <c:pt idx="10">
                  <c:v>29.01</c:v>
                </c:pt>
                <c:pt idx="11">
                  <c:v>30.73</c:v>
                </c:pt>
                <c:pt idx="12">
                  <c:v>30.73</c:v>
                </c:pt>
                <c:pt idx="13">
                  <c:v>29.7</c:v>
                </c:pt>
                <c:pt idx="14">
                  <c:v>33.49</c:v>
                </c:pt>
                <c:pt idx="15">
                  <c:v>35.22</c:v>
                </c:pt>
                <c:pt idx="16">
                  <c:v>35.22</c:v>
                </c:pt>
                <c:pt idx="17">
                  <c:v>36.6</c:v>
                </c:pt>
                <c:pt idx="18">
                  <c:v>37.979999999999997</c:v>
                </c:pt>
                <c:pt idx="19">
                  <c:v>39.71</c:v>
                </c:pt>
                <c:pt idx="20">
                  <c:v>39.020000000000003</c:v>
                </c:pt>
                <c:pt idx="21">
                  <c:v>41.78</c:v>
                </c:pt>
                <c:pt idx="22">
                  <c:v>43.16</c:v>
                </c:pt>
                <c:pt idx="23">
                  <c:v>42.13</c:v>
                </c:pt>
                <c:pt idx="24">
                  <c:v>41.09</c:v>
                </c:pt>
                <c:pt idx="25">
                  <c:v>42.82</c:v>
                </c:pt>
                <c:pt idx="26">
                  <c:v>42.47</c:v>
                </c:pt>
                <c:pt idx="27">
                  <c:v>42.13</c:v>
                </c:pt>
                <c:pt idx="28">
                  <c:v>41.44</c:v>
                </c:pt>
                <c:pt idx="29">
                  <c:v>41.44</c:v>
                </c:pt>
                <c:pt idx="30">
                  <c:v>42.13</c:v>
                </c:pt>
                <c:pt idx="31">
                  <c:v>40.4</c:v>
                </c:pt>
                <c:pt idx="32">
                  <c:v>40.4</c:v>
                </c:pt>
                <c:pt idx="33">
                  <c:v>39.71</c:v>
                </c:pt>
                <c:pt idx="34">
                  <c:v>40.06</c:v>
                </c:pt>
                <c:pt idx="35">
                  <c:v>44.2</c:v>
                </c:pt>
                <c:pt idx="36">
                  <c:v>47.65</c:v>
                </c:pt>
                <c:pt idx="37">
                  <c:v>50.07</c:v>
                </c:pt>
                <c:pt idx="38">
                  <c:v>48</c:v>
                </c:pt>
                <c:pt idx="39">
                  <c:v>49.72</c:v>
                </c:pt>
                <c:pt idx="40">
                  <c:v>54.21</c:v>
                </c:pt>
                <c:pt idx="41">
                  <c:v>55.59</c:v>
                </c:pt>
                <c:pt idx="42">
                  <c:v>54.56</c:v>
                </c:pt>
                <c:pt idx="43">
                  <c:v>57.32</c:v>
                </c:pt>
                <c:pt idx="44">
                  <c:v>62.85</c:v>
                </c:pt>
                <c:pt idx="45">
                  <c:v>64.23</c:v>
                </c:pt>
                <c:pt idx="46">
                  <c:v>67.33</c:v>
                </c:pt>
                <c:pt idx="47">
                  <c:v>71.48</c:v>
                </c:pt>
                <c:pt idx="48">
                  <c:v>75.97</c:v>
                </c:pt>
                <c:pt idx="49">
                  <c:v>79.42</c:v>
                </c:pt>
                <c:pt idx="50">
                  <c:v>80.8</c:v>
                </c:pt>
                <c:pt idx="51">
                  <c:v>82.18</c:v>
                </c:pt>
                <c:pt idx="52">
                  <c:v>79.42</c:v>
                </c:pt>
                <c:pt idx="53">
                  <c:v>80.8</c:v>
                </c:pt>
                <c:pt idx="54">
                  <c:v>83.22</c:v>
                </c:pt>
                <c:pt idx="55">
                  <c:v>82.87</c:v>
                </c:pt>
                <c:pt idx="56">
                  <c:v>77</c:v>
                </c:pt>
                <c:pt idx="57">
                  <c:v>76.66</c:v>
                </c:pt>
                <c:pt idx="58">
                  <c:v>75.28</c:v>
                </c:pt>
                <c:pt idx="59">
                  <c:v>67.680000000000007</c:v>
                </c:pt>
                <c:pt idx="60">
                  <c:v>63.19</c:v>
                </c:pt>
                <c:pt idx="61">
                  <c:v>60.08</c:v>
                </c:pt>
                <c:pt idx="62">
                  <c:v>61.12</c:v>
                </c:pt>
                <c:pt idx="63">
                  <c:v>61.46</c:v>
                </c:pt>
                <c:pt idx="64">
                  <c:v>63.19</c:v>
                </c:pt>
                <c:pt idx="65">
                  <c:v>62.85</c:v>
                </c:pt>
                <c:pt idx="66">
                  <c:v>61.12</c:v>
                </c:pt>
                <c:pt idx="67">
                  <c:v>60.08</c:v>
                </c:pt>
                <c:pt idx="68">
                  <c:v>63.54</c:v>
                </c:pt>
                <c:pt idx="69">
                  <c:v>#N/A</c:v>
                </c:pt>
              </c:numCache>
            </c:numRef>
          </c:val>
          <c:smooth val="1"/>
          <c:extLst>
            <c:ext xmlns:c16="http://schemas.microsoft.com/office/drawing/2014/chart" uri="{C3380CC4-5D6E-409C-BE32-E72D297353CC}">
              <c16:uniqueId val="{00000002-FE20-4D29-AAA6-6A589EC872A3}"/>
            </c:ext>
          </c:extLst>
        </c:ser>
        <c:ser>
          <c:idx val="3"/>
          <c:order val="3"/>
          <c:tx>
            <c:strRef>
              <c:f>'Top 25 (Pop&gt; 200K)'!$E$41</c:f>
              <c:strCache>
                <c:ptCount val="1"/>
                <c:pt idx="0">
                  <c:v>Butte, CA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200K)'!$E$42:$E$111</c:f>
              <c:numCache>
                <c:formatCode>0.0</c:formatCode>
                <c:ptCount val="70"/>
                <c:pt idx="0">
                  <c:v>24.48</c:v>
                </c:pt>
                <c:pt idx="1">
                  <c:v>25.92</c:v>
                </c:pt>
                <c:pt idx="2">
                  <c:v>24</c:v>
                </c:pt>
                <c:pt idx="3">
                  <c:v>22.56</c:v>
                </c:pt>
                <c:pt idx="4">
                  <c:v>23.52</c:v>
                </c:pt>
                <c:pt idx="5">
                  <c:v>25.44</c:v>
                </c:pt>
                <c:pt idx="6">
                  <c:v>28.32</c:v>
                </c:pt>
                <c:pt idx="7">
                  <c:v>32.64</c:v>
                </c:pt>
                <c:pt idx="8">
                  <c:v>32.64</c:v>
                </c:pt>
                <c:pt idx="9">
                  <c:v>33.119999999999997</c:v>
                </c:pt>
                <c:pt idx="10">
                  <c:v>33.119999999999997</c:v>
                </c:pt>
                <c:pt idx="11">
                  <c:v>33.6</c:v>
                </c:pt>
                <c:pt idx="12">
                  <c:v>37.92</c:v>
                </c:pt>
                <c:pt idx="13">
                  <c:v>39.840000000000003</c:v>
                </c:pt>
                <c:pt idx="14">
                  <c:v>43.2</c:v>
                </c:pt>
                <c:pt idx="15">
                  <c:v>47.52</c:v>
                </c:pt>
                <c:pt idx="16">
                  <c:v>49.92</c:v>
                </c:pt>
                <c:pt idx="17">
                  <c:v>50.88</c:v>
                </c:pt>
                <c:pt idx="18">
                  <c:v>48.96</c:v>
                </c:pt>
                <c:pt idx="19">
                  <c:v>49.44</c:v>
                </c:pt>
                <c:pt idx="20">
                  <c:v>49.44</c:v>
                </c:pt>
                <c:pt idx="21">
                  <c:v>51.84</c:v>
                </c:pt>
                <c:pt idx="22">
                  <c:v>54.72</c:v>
                </c:pt>
                <c:pt idx="23">
                  <c:v>57.6</c:v>
                </c:pt>
                <c:pt idx="24">
                  <c:v>56.16</c:v>
                </c:pt>
                <c:pt idx="25">
                  <c:v>56.64</c:v>
                </c:pt>
                <c:pt idx="26">
                  <c:v>57.12</c:v>
                </c:pt>
                <c:pt idx="27">
                  <c:v>54.72</c:v>
                </c:pt>
                <c:pt idx="28">
                  <c:v>52.8</c:v>
                </c:pt>
                <c:pt idx="29">
                  <c:v>55.2</c:v>
                </c:pt>
                <c:pt idx="30">
                  <c:v>55.2</c:v>
                </c:pt>
                <c:pt idx="31">
                  <c:v>52.8</c:v>
                </c:pt>
                <c:pt idx="32">
                  <c:v>54.72</c:v>
                </c:pt>
                <c:pt idx="33">
                  <c:v>56.64</c:v>
                </c:pt>
                <c:pt idx="34">
                  <c:v>55.2</c:v>
                </c:pt>
                <c:pt idx="35">
                  <c:v>53.28</c:v>
                </c:pt>
                <c:pt idx="36">
                  <c:v>56.64</c:v>
                </c:pt>
                <c:pt idx="37">
                  <c:v>54.72</c:v>
                </c:pt>
                <c:pt idx="38">
                  <c:v>54.72</c:v>
                </c:pt>
                <c:pt idx="39">
                  <c:v>57.12</c:v>
                </c:pt>
                <c:pt idx="40">
                  <c:v>62.88</c:v>
                </c:pt>
                <c:pt idx="41">
                  <c:v>62.4</c:v>
                </c:pt>
                <c:pt idx="42">
                  <c:v>67.680000000000007</c:v>
                </c:pt>
                <c:pt idx="43">
                  <c:v>67.680000000000007</c:v>
                </c:pt>
                <c:pt idx="44">
                  <c:v>65.760000000000005</c:v>
                </c:pt>
                <c:pt idx="45">
                  <c:v>67.2</c:v>
                </c:pt>
                <c:pt idx="46">
                  <c:v>66.72</c:v>
                </c:pt>
                <c:pt idx="47">
                  <c:v>65.28</c:v>
                </c:pt>
                <c:pt idx="48">
                  <c:v>64.8</c:v>
                </c:pt>
                <c:pt idx="49">
                  <c:v>66.239999999999995</c:v>
                </c:pt>
                <c:pt idx="50">
                  <c:v>67.680000000000007</c:v>
                </c:pt>
                <c:pt idx="51">
                  <c:v>65.760000000000005</c:v>
                </c:pt>
                <c:pt idx="52">
                  <c:v>58.56</c:v>
                </c:pt>
                <c:pt idx="53">
                  <c:v>54.72</c:v>
                </c:pt>
                <c:pt idx="54">
                  <c:v>53.76</c:v>
                </c:pt>
                <c:pt idx="55">
                  <c:v>53.28</c:v>
                </c:pt>
                <c:pt idx="56">
                  <c:v>54.24</c:v>
                </c:pt>
                <c:pt idx="57">
                  <c:v>51.36</c:v>
                </c:pt>
                <c:pt idx="58">
                  <c:v>51.84</c:v>
                </c:pt>
                <c:pt idx="59">
                  <c:v>54.72</c:v>
                </c:pt>
                <c:pt idx="60">
                  <c:v>52.8</c:v>
                </c:pt>
                <c:pt idx="61">
                  <c:v>56.16</c:v>
                </c:pt>
                <c:pt idx="62">
                  <c:v>53.28</c:v>
                </c:pt>
                <c:pt idx="63">
                  <c:v>55.68</c:v>
                </c:pt>
                <c:pt idx="64">
                  <c:v>57.12</c:v>
                </c:pt>
                <c:pt idx="65">
                  <c:v>60.96</c:v>
                </c:pt>
                <c:pt idx="66">
                  <c:v>59.52</c:v>
                </c:pt>
                <c:pt idx="67">
                  <c:v>59.52</c:v>
                </c:pt>
                <c:pt idx="68">
                  <c:v>60.96</c:v>
                </c:pt>
                <c:pt idx="69">
                  <c:v>#N/A</c:v>
                </c:pt>
              </c:numCache>
            </c:numRef>
          </c:val>
          <c:smooth val="1"/>
          <c:extLst>
            <c:ext xmlns:c16="http://schemas.microsoft.com/office/drawing/2014/chart" uri="{C3380CC4-5D6E-409C-BE32-E72D297353CC}">
              <c16:uniqueId val="{00000003-FE20-4D29-AAA6-6A589EC872A3}"/>
            </c:ext>
          </c:extLst>
        </c:ser>
        <c:ser>
          <c:idx val="4"/>
          <c:order val="4"/>
          <c:tx>
            <c:strRef>
              <c:f>'Top 25 (Pop&gt; 200K)'!$F$41</c:f>
              <c:strCache>
                <c:ptCount val="1"/>
                <c:pt idx="0">
                  <c:v>Spokane, WA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200K)'!$F$42:$F$111</c:f>
              <c:numCache>
                <c:formatCode>0.0</c:formatCode>
                <c:ptCount val="70"/>
                <c:pt idx="0">
                  <c:v>14.93</c:v>
                </c:pt>
                <c:pt idx="1">
                  <c:v>15.29</c:v>
                </c:pt>
                <c:pt idx="2">
                  <c:v>15.83</c:v>
                </c:pt>
                <c:pt idx="3">
                  <c:v>16.010000000000002</c:v>
                </c:pt>
                <c:pt idx="4">
                  <c:v>15.29</c:v>
                </c:pt>
                <c:pt idx="5">
                  <c:v>16.37</c:v>
                </c:pt>
                <c:pt idx="6">
                  <c:v>16.55</c:v>
                </c:pt>
                <c:pt idx="7">
                  <c:v>16.91</c:v>
                </c:pt>
                <c:pt idx="8">
                  <c:v>16.55</c:v>
                </c:pt>
                <c:pt idx="9">
                  <c:v>17.09</c:v>
                </c:pt>
                <c:pt idx="10">
                  <c:v>17.809999999999999</c:v>
                </c:pt>
                <c:pt idx="11">
                  <c:v>18.53</c:v>
                </c:pt>
                <c:pt idx="12">
                  <c:v>17.63</c:v>
                </c:pt>
                <c:pt idx="13">
                  <c:v>17.45</c:v>
                </c:pt>
                <c:pt idx="14">
                  <c:v>18.71</c:v>
                </c:pt>
                <c:pt idx="15">
                  <c:v>19.79</c:v>
                </c:pt>
                <c:pt idx="16">
                  <c:v>19.61</c:v>
                </c:pt>
                <c:pt idx="17">
                  <c:v>19.97</c:v>
                </c:pt>
                <c:pt idx="18">
                  <c:v>23.38</c:v>
                </c:pt>
                <c:pt idx="19">
                  <c:v>25.18</c:v>
                </c:pt>
                <c:pt idx="20">
                  <c:v>27.88</c:v>
                </c:pt>
                <c:pt idx="21">
                  <c:v>30.4</c:v>
                </c:pt>
                <c:pt idx="22">
                  <c:v>32.020000000000003</c:v>
                </c:pt>
                <c:pt idx="23">
                  <c:v>33.1</c:v>
                </c:pt>
                <c:pt idx="24">
                  <c:v>34.72</c:v>
                </c:pt>
                <c:pt idx="25">
                  <c:v>36.69</c:v>
                </c:pt>
                <c:pt idx="26">
                  <c:v>38.49</c:v>
                </c:pt>
                <c:pt idx="27">
                  <c:v>38.67</c:v>
                </c:pt>
                <c:pt idx="28">
                  <c:v>40.47</c:v>
                </c:pt>
                <c:pt idx="29">
                  <c:v>41.37</c:v>
                </c:pt>
                <c:pt idx="30">
                  <c:v>40.11</c:v>
                </c:pt>
                <c:pt idx="31">
                  <c:v>39.39</c:v>
                </c:pt>
                <c:pt idx="32">
                  <c:v>38.31</c:v>
                </c:pt>
                <c:pt idx="33">
                  <c:v>38.49</c:v>
                </c:pt>
                <c:pt idx="34">
                  <c:v>38.49</c:v>
                </c:pt>
                <c:pt idx="35">
                  <c:v>38.85</c:v>
                </c:pt>
                <c:pt idx="36">
                  <c:v>39.57</c:v>
                </c:pt>
                <c:pt idx="37">
                  <c:v>40.11</c:v>
                </c:pt>
                <c:pt idx="38">
                  <c:v>39.39</c:v>
                </c:pt>
                <c:pt idx="39">
                  <c:v>39.93</c:v>
                </c:pt>
                <c:pt idx="40">
                  <c:v>40.11</c:v>
                </c:pt>
                <c:pt idx="41">
                  <c:v>40.29</c:v>
                </c:pt>
                <c:pt idx="42">
                  <c:v>41.73</c:v>
                </c:pt>
                <c:pt idx="43">
                  <c:v>42.45</c:v>
                </c:pt>
                <c:pt idx="44">
                  <c:v>42.99</c:v>
                </c:pt>
                <c:pt idx="45">
                  <c:v>41.01</c:v>
                </c:pt>
                <c:pt idx="46">
                  <c:v>40.65</c:v>
                </c:pt>
                <c:pt idx="47">
                  <c:v>41.91</c:v>
                </c:pt>
                <c:pt idx="48">
                  <c:v>42.63</c:v>
                </c:pt>
                <c:pt idx="49">
                  <c:v>44.25</c:v>
                </c:pt>
                <c:pt idx="50">
                  <c:v>45.87</c:v>
                </c:pt>
                <c:pt idx="51">
                  <c:v>47.85</c:v>
                </c:pt>
                <c:pt idx="52">
                  <c:v>49.11</c:v>
                </c:pt>
                <c:pt idx="53">
                  <c:v>50.54</c:v>
                </c:pt>
                <c:pt idx="54">
                  <c:v>51.08</c:v>
                </c:pt>
                <c:pt idx="55">
                  <c:v>51.08</c:v>
                </c:pt>
                <c:pt idx="56">
                  <c:v>52.88</c:v>
                </c:pt>
                <c:pt idx="57">
                  <c:v>55.4</c:v>
                </c:pt>
                <c:pt idx="58">
                  <c:v>56.12</c:v>
                </c:pt>
                <c:pt idx="59">
                  <c:v>56.84</c:v>
                </c:pt>
                <c:pt idx="60">
                  <c:v>59.36</c:v>
                </c:pt>
                <c:pt idx="61">
                  <c:v>59.36</c:v>
                </c:pt>
                <c:pt idx="62">
                  <c:v>59.72</c:v>
                </c:pt>
                <c:pt idx="63">
                  <c:v>59.54</c:v>
                </c:pt>
                <c:pt idx="64">
                  <c:v>58.64</c:v>
                </c:pt>
                <c:pt idx="65">
                  <c:v>57.56</c:v>
                </c:pt>
                <c:pt idx="66">
                  <c:v>58.28</c:v>
                </c:pt>
                <c:pt idx="67">
                  <c:v>59.54</c:v>
                </c:pt>
                <c:pt idx="68">
                  <c:v>57.92</c:v>
                </c:pt>
                <c:pt idx="69">
                  <c:v>61.88</c:v>
                </c:pt>
              </c:numCache>
            </c:numRef>
          </c:val>
          <c:smooth val="1"/>
          <c:extLst>
            <c:ext xmlns:c16="http://schemas.microsoft.com/office/drawing/2014/chart" uri="{C3380CC4-5D6E-409C-BE32-E72D297353CC}">
              <c16:uniqueId val="{00000004-FE20-4D29-AAA6-6A589EC872A3}"/>
            </c:ext>
          </c:extLst>
        </c:ser>
        <c:ser>
          <c:idx val="5"/>
          <c:order val="5"/>
          <c:tx>
            <c:strRef>
              <c:f>'Top 25 (Pop&gt; 200K)'!$G$41</c:f>
              <c:strCache>
                <c:ptCount val="1"/>
                <c:pt idx="0">
                  <c:v>San Francisco, CA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200K)'!$G$42:$G$111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5-FE20-4D29-AAA6-6A589EC872A3}"/>
            </c:ext>
          </c:extLst>
        </c:ser>
        <c:ser>
          <c:idx val="6"/>
          <c:order val="6"/>
          <c:tx>
            <c:strRef>
              <c:f>'Top 25 (Pop&gt; 200K)'!$H$41</c:f>
              <c:strCache>
                <c:ptCount val="1"/>
                <c:pt idx="0">
                  <c:v>El Paso, CO</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200K)'!$H$42:$H$111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6-FE20-4D29-AAA6-6A589EC872A3}"/>
            </c:ext>
          </c:extLst>
        </c:ser>
        <c:ser>
          <c:idx val="7"/>
          <c:order val="7"/>
          <c:tx>
            <c:strRef>
              <c:f>'Top 25 (Pop&gt; 200K)'!$I$41</c:f>
              <c:strCache>
                <c:ptCount val="1"/>
                <c:pt idx="0">
                  <c:v>Philadelphia, PA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200K)'!$I$42:$I$111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7-FE20-4D29-AAA6-6A589EC872A3}"/>
            </c:ext>
          </c:extLst>
        </c:ser>
        <c:ser>
          <c:idx val="8"/>
          <c:order val="8"/>
          <c:tx>
            <c:strRef>
              <c:f>'Top 25 (Pop&gt; 200K)'!$J$41</c:f>
              <c:strCache>
                <c:ptCount val="1"/>
                <c:pt idx="0">
                  <c:v>Multnomah, OR</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200K)'!$J$42:$J$111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8-FE20-4D29-AAA6-6A589EC872A3}"/>
            </c:ext>
          </c:extLst>
        </c:ser>
        <c:ser>
          <c:idx val="9"/>
          <c:order val="9"/>
          <c:tx>
            <c:strRef>
              <c:f>'Top 25 (Pop&gt; 200K)'!$K$41</c:f>
              <c:strCache>
                <c:ptCount val="1"/>
                <c:pt idx="0">
                  <c:v>Denver, CO</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200K)'!$K$42:$K$111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9-FE20-4D29-AAA6-6A589EC872A3}"/>
            </c:ext>
          </c:extLst>
        </c:ser>
        <c:ser>
          <c:idx val="10"/>
          <c:order val="10"/>
          <c:tx>
            <c:strRef>
              <c:f>'Top 25 (Pop&gt; 200K)'!$L$41</c:f>
              <c:strCache>
                <c:ptCount val="1"/>
                <c:pt idx="0">
                  <c:v>Orleans, LA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200K)'!$L$42:$L$111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A-FE20-4D29-AAA6-6A589EC872A3}"/>
            </c:ext>
          </c:extLst>
        </c:ser>
        <c:ser>
          <c:idx val="11"/>
          <c:order val="11"/>
          <c:tx>
            <c:strRef>
              <c:f>'Top 25 (Pop&gt; 200K)'!$M$41</c:f>
              <c:strCache>
                <c:ptCount val="1"/>
                <c:pt idx="0">
                  <c:v>Yakima, WA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200K)'!$M$42:$M$111</c:f>
              <c:numCache>
                <c:formatCode>0.0</c:formatCode>
                <c:ptCount val="70"/>
                <c:pt idx="0">
                  <c:v>17.79</c:v>
                </c:pt>
                <c:pt idx="1">
                  <c:v>19.73</c:v>
                </c:pt>
                <c:pt idx="2">
                  <c:v>21.66</c:v>
                </c:pt>
                <c:pt idx="3">
                  <c:v>23.6</c:v>
                </c:pt>
                <c:pt idx="4">
                  <c:v>25.92</c:v>
                </c:pt>
                <c:pt idx="5">
                  <c:v>29.01</c:v>
                </c:pt>
                <c:pt idx="6">
                  <c:v>31.33</c:v>
                </c:pt>
                <c:pt idx="7">
                  <c:v>33.65</c:v>
                </c:pt>
                <c:pt idx="8">
                  <c:v>32.880000000000003</c:v>
                </c:pt>
                <c:pt idx="9">
                  <c:v>31.33</c:v>
                </c:pt>
                <c:pt idx="10">
                  <c:v>31.33</c:v>
                </c:pt>
                <c:pt idx="11">
                  <c:v>29.01</c:v>
                </c:pt>
                <c:pt idx="12">
                  <c:v>32.49</c:v>
                </c:pt>
                <c:pt idx="13">
                  <c:v>31.72</c:v>
                </c:pt>
                <c:pt idx="14">
                  <c:v>30.95</c:v>
                </c:pt>
                <c:pt idx="15">
                  <c:v>32.11</c:v>
                </c:pt>
                <c:pt idx="16">
                  <c:v>30.56</c:v>
                </c:pt>
                <c:pt idx="17">
                  <c:v>30.17</c:v>
                </c:pt>
                <c:pt idx="18">
                  <c:v>30.95</c:v>
                </c:pt>
                <c:pt idx="19">
                  <c:v>32.880000000000003</c:v>
                </c:pt>
                <c:pt idx="20">
                  <c:v>33.270000000000003</c:v>
                </c:pt>
                <c:pt idx="21">
                  <c:v>34.04</c:v>
                </c:pt>
                <c:pt idx="22">
                  <c:v>35.97</c:v>
                </c:pt>
                <c:pt idx="23">
                  <c:v>37.130000000000003</c:v>
                </c:pt>
                <c:pt idx="24">
                  <c:v>33.270000000000003</c:v>
                </c:pt>
                <c:pt idx="25">
                  <c:v>35.590000000000003</c:v>
                </c:pt>
                <c:pt idx="26">
                  <c:v>35.590000000000003</c:v>
                </c:pt>
                <c:pt idx="27">
                  <c:v>33.65</c:v>
                </c:pt>
                <c:pt idx="28">
                  <c:v>34.43</c:v>
                </c:pt>
                <c:pt idx="29">
                  <c:v>32.49</c:v>
                </c:pt>
                <c:pt idx="30">
                  <c:v>31.72</c:v>
                </c:pt>
                <c:pt idx="31">
                  <c:v>29.01</c:v>
                </c:pt>
                <c:pt idx="32">
                  <c:v>27.08</c:v>
                </c:pt>
                <c:pt idx="33">
                  <c:v>28.62</c:v>
                </c:pt>
                <c:pt idx="34">
                  <c:v>28.62</c:v>
                </c:pt>
                <c:pt idx="35">
                  <c:v>31.33</c:v>
                </c:pt>
                <c:pt idx="36">
                  <c:v>32.49</c:v>
                </c:pt>
                <c:pt idx="37">
                  <c:v>31.72</c:v>
                </c:pt>
                <c:pt idx="38">
                  <c:v>32.880000000000003</c:v>
                </c:pt>
                <c:pt idx="39">
                  <c:v>34.43</c:v>
                </c:pt>
                <c:pt idx="40">
                  <c:v>34.81</c:v>
                </c:pt>
                <c:pt idx="41">
                  <c:v>35.97</c:v>
                </c:pt>
                <c:pt idx="42">
                  <c:v>35.97</c:v>
                </c:pt>
                <c:pt idx="43">
                  <c:v>37.909999999999997</c:v>
                </c:pt>
                <c:pt idx="44">
                  <c:v>42.94</c:v>
                </c:pt>
                <c:pt idx="45">
                  <c:v>42.55</c:v>
                </c:pt>
                <c:pt idx="46">
                  <c:v>42.55</c:v>
                </c:pt>
                <c:pt idx="47">
                  <c:v>41.78</c:v>
                </c:pt>
                <c:pt idx="48">
                  <c:v>42.94</c:v>
                </c:pt>
                <c:pt idx="49">
                  <c:v>42.55</c:v>
                </c:pt>
                <c:pt idx="50">
                  <c:v>45.26</c:v>
                </c:pt>
                <c:pt idx="51">
                  <c:v>46.03</c:v>
                </c:pt>
                <c:pt idx="52">
                  <c:v>49.9</c:v>
                </c:pt>
                <c:pt idx="53">
                  <c:v>51.83</c:v>
                </c:pt>
                <c:pt idx="54">
                  <c:v>53.38</c:v>
                </c:pt>
                <c:pt idx="55">
                  <c:v>51.45</c:v>
                </c:pt>
                <c:pt idx="56">
                  <c:v>49.51</c:v>
                </c:pt>
                <c:pt idx="57">
                  <c:v>51.06</c:v>
                </c:pt>
                <c:pt idx="58">
                  <c:v>55.31</c:v>
                </c:pt>
                <c:pt idx="59">
                  <c:v>57.25</c:v>
                </c:pt>
                <c:pt idx="60">
                  <c:v>57.64</c:v>
                </c:pt>
                <c:pt idx="61">
                  <c:v>58.8</c:v>
                </c:pt>
                <c:pt idx="62">
                  <c:v>54.93</c:v>
                </c:pt>
                <c:pt idx="63">
                  <c:v>55.31</c:v>
                </c:pt>
                <c:pt idx="64">
                  <c:v>51.83</c:v>
                </c:pt>
                <c:pt idx="65">
                  <c:v>50.29</c:v>
                </c:pt>
                <c:pt idx="66">
                  <c:v>49.13</c:v>
                </c:pt>
                <c:pt idx="67">
                  <c:v>49.13</c:v>
                </c:pt>
                <c:pt idx="68">
                  <c:v>47.58</c:v>
                </c:pt>
                <c:pt idx="69">
                  <c:v>#N/A</c:v>
                </c:pt>
              </c:numCache>
            </c:numRef>
          </c:val>
          <c:smooth val="1"/>
          <c:extLst>
            <c:ext xmlns:c16="http://schemas.microsoft.com/office/drawing/2014/chart" uri="{C3380CC4-5D6E-409C-BE32-E72D297353CC}">
              <c16:uniqueId val="{0000000B-FE20-4D29-AAA6-6A589EC872A3}"/>
            </c:ext>
          </c:extLst>
        </c:ser>
        <c:ser>
          <c:idx val="12"/>
          <c:order val="12"/>
          <c:tx>
            <c:strRef>
              <c:f>'Top 25 (Pop&gt; 200K)'!$N$41</c:f>
              <c:strCache>
                <c:ptCount val="1"/>
                <c:pt idx="0">
                  <c:v>Mohave, AZ</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200K)'!$N$42:$N$111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C-FE20-4D29-AAA6-6A589EC872A3}"/>
            </c:ext>
          </c:extLst>
        </c:ser>
        <c:ser>
          <c:idx val="13"/>
          <c:order val="13"/>
          <c:tx>
            <c:strRef>
              <c:f>'Top 25 (Pop&gt; 200K)'!$O$41</c:f>
              <c:strCache>
                <c:ptCount val="1"/>
                <c:pt idx="0">
                  <c:v>Pierce, WA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200K)'!$O$42:$O$111</c:f>
              <c:numCache>
                <c:formatCode>0.0</c:formatCode>
                <c:ptCount val="70"/>
                <c:pt idx="0">
                  <c:v>15.73</c:v>
                </c:pt>
                <c:pt idx="1">
                  <c:v>15.19</c:v>
                </c:pt>
                <c:pt idx="2">
                  <c:v>16.149999999999999</c:v>
                </c:pt>
                <c:pt idx="3">
                  <c:v>18.170000000000002</c:v>
                </c:pt>
                <c:pt idx="4">
                  <c:v>19.87</c:v>
                </c:pt>
                <c:pt idx="5">
                  <c:v>20.079999999999998</c:v>
                </c:pt>
                <c:pt idx="6">
                  <c:v>21.78</c:v>
                </c:pt>
                <c:pt idx="7">
                  <c:v>21.99</c:v>
                </c:pt>
                <c:pt idx="8">
                  <c:v>23.27</c:v>
                </c:pt>
                <c:pt idx="9">
                  <c:v>24.12</c:v>
                </c:pt>
                <c:pt idx="10">
                  <c:v>25.5</c:v>
                </c:pt>
                <c:pt idx="11">
                  <c:v>26.35</c:v>
                </c:pt>
                <c:pt idx="12">
                  <c:v>27.09</c:v>
                </c:pt>
                <c:pt idx="13">
                  <c:v>28.05</c:v>
                </c:pt>
                <c:pt idx="14">
                  <c:v>28.58</c:v>
                </c:pt>
                <c:pt idx="15">
                  <c:v>29.54</c:v>
                </c:pt>
                <c:pt idx="16">
                  <c:v>30.07</c:v>
                </c:pt>
                <c:pt idx="17">
                  <c:v>31.77</c:v>
                </c:pt>
                <c:pt idx="18">
                  <c:v>33.47</c:v>
                </c:pt>
                <c:pt idx="19">
                  <c:v>36.130000000000003</c:v>
                </c:pt>
                <c:pt idx="20">
                  <c:v>35.81</c:v>
                </c:pt>
                <c:pt idx="21">
                  <c:v>35.81</c:v>
                </c:pt>
                <c:pt idx="22">
                  <c:v>35.28</c:v>
                </c:pt>
                <c:pt idx="23">
                  <c:v>36.229999999999997</c:v>
                </c:pt>
                <c:pt idx="24">
                  <c:v>37.4</c:v>
                </c:pt>
                <c:pt idx="25">
                  <c:v>38.25</c:v>
                </c:pt>
                <c:pt idx="26">
                  <c:v>37.83</c:v>
                </c:pt>
                <c:pt idx="27">
                  <c:v>37.29</c:v>
                </c:pt>
                <c:pt idx="28">
                  <c:v>35.81</c:v>
                </c:pt>
                <c:pt idx="29">
                  <c:v>35.380000000000003</c:v>
                </c:pt>
                <c:pt idx="30">
                  <c:v>35.590000000000003</c:v>
                </c:pt>
                <c:pt idx="31">
                  <c:v>33.36</c:v>
                </c:pt>
                <c:pt idx="32">
                  <c:v>32.409999999999997</c:v>
                </c:pt>
                <c:pt idx="33">
                  <c:v>33.89</c:v>
                </c:pt>
                <c:pt idx="34">
                  <c:v>34.74</c:v>
                </c:pt>
                <c:pt idx="35">
                  <c:v>37.19</c:v>
                </c:pt>
                <c:pt idx="36">
                  <c:v>37.83</c:v>
                </c:pt>
                <c:pt idx="37">
                  <c:v>38.14</c:v>
                </c:pt>
                <c:pt idx="38">
                  <c:v>39.21</c:v>
                </c:pt>
                <c:pt idx="39">
                  <c:v>40.479999999999997</c:v>
                </c:pt>
                <c:pt idx="40">
                  <c:v>43.03</c:v>
                </c:pt>
                <c:pt idx="41">
                  <c:v>45.26</c:v>
                </c:pt>
                <c:pt idx="42">
                  <c:v>45.48</c:v>
                </c:pt>
                <c:pt idx="43">
                  <c:v>46.96</c:v>
                </c:pt>
                <c:pt idx="44">
                  <c:v>49.09</c:v>
                </c:pt>
                <c:pt idx="45">
                  <c:v>49.41</c:v>
                </c:pt>
                <c:pt idx="46">
                  <c:v>49.83</c:v>
                </c:pt>
                <c:pt idx="47">
                  <c:v>48.66</c:v>
                </c:pt>
                <c:pt idx="48">
                  <c:v>48.56</c:v>
                </c:pt>
                <c:pt idx="49">
                  <c:v>49.41</c:v>
                </c:pt>
                <c:pt idx="50">
                  <c:v>49.09</c:v>
                </c:pt>
                <c:pt idx="51">
                  <c:v>48.13</c:v>
                </c:pt>
                <c:pt idx="52">
                  <c:v>47.81</c:v>
                </c:pt>
                <c:pt idx="53">
                  <c:v>46.01</c:v>
                </c:pt>
                <c:pt idx="54">
                  <c:v>44.94</c:v>
                </c:pt>
                <c:pt idx="55">
                  <c:v>43.03</c:v>
                </c:pt>
                <c:pt idx="56">
                  <c:v>42.18</c:v>
                </c:pt>
                <c:pt idx="57">
                  <c:v>41.65</c:v>
                </c:pt>
                <c:pt idx="58">
                  <c:v>40.909999999999997</c:v>
                </c:pt>
                <c:pt idx="59">
                  <c:v>41.65</c:v>
                </c:pt>
                <c:pt idx="60">
                  <c:v>43.67</c:v>
                </c:pt>
                <c:pt idx="61">
                  <c:v>43.99</c:v>
                </c:pt>
                <c:pt idx="62">
                  <c:v>46.75</c:v>
                </c:pt>
                <c:pt idx="63">
                  <c:v>47.49</c:v>
                </c:pt>
                <c:pt idx="64">
                  <c:v>46.75</c:v>
                </c:pt>
                <c:pt idx="65">
                  <c:v>46.43</c:v>
                </c:pt>
                <c:pt idx="66">
                  <c:v>45.05</c:v>
                </c:pt>
                <c:pt idx="67">
                  <c:v>46.22</c:v>
                </c:pt>
                <c:pt idx="68">
                  <c:v>46.22</c:v>
                </c:pt>
                <c:pt idx="69">
                  <c:v>#N/A</c:v>
                </c:pt>
              </c:numCache>
            </c:numRef>
          </c:val>
          <c:smooth val="1"/>
          <c:extLst>
            <c:ext xmlns:c16="http://schemas.microsoft.com/office/drawing/2014/chart" uri="{C3380CC4-5D6E-409C-BE32-E72D297353CC}">
              <c16:uniqueId val="{0000000D-FE20-4D29-AAA6-6A589EC872A3}"/>
            </c:ext>
          </c:extLst>
        </c:ser>
        <c:ser>
          <c:idx val="14"/>
          <c:order val="14"/>
          <c:tx>
            <c:strRef>
              <c:f>'Top 25 (Pop&gt; 200K)'!$P$41</c:f>
              <c:strCache>
                <c:ptCount val="1"/>
                <c:pt idx="0">
                  <c:v>Knox, TN</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200K)'!$P$42:$P$111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E-FE20-4D29-AAA6-6A589EC872A3}"/>
            </c:ext>
          </c:extLst>
        </c:ser>
        <c:ser>
          <c:idx val="15"/>
          <c:order val="15"/>
          <c:tx>
            <c:strRef>
              <c:f>'Top 25 (Pop&gt; 200K)'!$Q$41</c:f>
              <c:strCache>
                <c:ptCount val="1"/>
                <c:pt idx="0">
                  <c:v>Bernalillo, NM</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200K)'!$Q$42:$Q$111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F-FE20-4D29-AAA6-6A589EC872A3}"/>
            </c:ext>
          </c:extLst>
        </c:ser>
        <c:ser>
          <c:idx val="16"/>
          <c:order val="16"/>
          <c:tx>
            <c:strRef>
              <c:f>'Top 25 (Pop&gt; 200K)'!$R$41</c:f>
              <c:strCache>
                <c:ptCount val="1"/>
                <c:pt idx="0">
                  <c:v>Davidson, TN</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200K)'!$R$42:$R$111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0-FE20-4D29-AAA6-6A589EC872A3}"/>
            </c:ext>
          </c:extLst>
        </c:ser>
        <c:ser>
          <c:idx val="17"/>
          <c:order val="17"/>
          <c:tx>
            <c:strRef>
              <c:f>'Top 25 (Pop&gt; 200K)'!$S$41</c:f>
              <c:strCache>
                <c:ptCount val="1"/>
                <c:pt idx="0">
                  <c:v>Bronx, NY</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200K)'!$S$42:$S$111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1-FE20-4D29-AAA6-6A589EC872A3}"/>
            </c:ext>
          </c:extLst>
        </c:ser>
        <c:ser>
          <c:idx val="18"/>
          <c:order val="18"/>
          <c:tx>
            <c:strRef>
              <c:f>'Top 25 (Pop&gt; 200K)'!$T$41</c:f>
              <c:strCache>
                <c:ptCount val="1"/>
                <c:pt idx="0">
                  <c:v>Atlantic, NJ</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200K)'!$T$42:$T$111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2-FE20-4D29-AAA6-6A589EC872A3}"/>
            </c:ext>
          </c:extLst>
        </c:ser>
        <c:ser>
          <c:idx val="19"/>
          <c:order val="19"/>
          <c:tx>
            <c:strRef>
              <c:f>'Top 25 (Pop&gt; 200K)'!$U$41</c:f>
              <c:strCache>
                <c:ptCount val="1"/>
                <c:pt idx="0">
                  <c:v>King, WA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200K)'!$U$42:$U$111</c:f>
              <c:numCache>
                <c:formatCode>0.0</c:formatCode>
                <c:ptCount val="70"/>
                <c:pt idx="0">
                  <c:v>17.43</c:v>
                </c:pt>
                <c:pt idx="1">
                  <c:v>17.61</c:v>
                </c:pt>
                <c:pt idx="2">
                  <c:v>18.29</c:v>
                </c:pt>
                <c:pt idx="3">
                  <c:v>19.309999999999999</c:v>
                </c:pt>
                <c:pt idx="4">
                  <c:v>20.21</c:v>
                </c:pt>
                <c:pt idx="5">
                  <c:v>20.77</c:v>
                </c:pt>
                <c:pt idx="6">
                  <c:v>21.28</c:v>
                </c:pt>
                <c:pt idx="7">
                  <c:v>21.15</c:v>
                </c:pt>
                <c:pt idx="8">
                  <c:v>20.77</c:v>
                </c:pt>
                <c:pt idx="9">
                  <c:v>20.72</c:v>
                </c:pt>
                <c:pt idx="10">
                  <c:v>21.11</c:v>
                </c:pt>
                <c:pt idx="11">
                  <c:v>21.15</c:v>
                </c:pt>
                <c:pt idx="12">
                  <c:v>22.09</c:v>
                </c:pt>
                <c:pt idx="13">
                  <c:v>22.13</c:v>
                </c:pt>
                <c:pt idx="14">
                  <c:v>22.43</c:v>
                </c:pt>
                <c:pt idx="15">
                  <c:v>22.6</c:v>
                </c:pt>
                <c:pt idx="16">
                  <c:v>23.54</c:v>
                </c:pt>
                <c:pt idx="17">
                  <c:v>24.48</c:v>
                </c:pt>
                <c:pt idx="18">
                  <c:v>25.04</c:v>
                </c:pt>
                <c:pt idx="19">
                  <c:v>25.3</c:v>
                </c:pt>
                <c:pt idx="20">
                  <c:v>26.49</c:v>
                </c:pt>
                <c:pt idx="21">
                  <c:v>27.31</c:v>
                </c:pt>
                <c:pt idx="22">
                  <c:v>27.9</c:v>
                </c:pt>
                <c:pt idx="23">
                  <c:v>28.5</c:v>
                </c:pt>
                <c:pt idx="24">
                  <c:v>28.8</c:v>
                </c:pt>
                <c:pt idx="25">
                  <c:v>28.93</c:v>
                </c:pt>
                <c:pt idx="26">
                  <c:v>29.27</c:v>
                </c:pt>
                <c:pt idx="27">
                  <c:v>29.14</c:v>
                </c:pt>
                <c:pt idx="28">
                  <c:v>29.01</c:v>
                </c:pt>
                <c:pt idx="29">
                  <c:v>29.01</c:v>
                </c:pt>
                <c:pt idx="30">
                  <c:v>29.66</c:v>
                </c:pt>
                <c:pt idx="31">
                  <c:v>32.130000000000003</c:v>
                </c:pt>
                <c:pt idx="32">
                  <c:v>33.159999999999997</c:v>
                </c:pt>
                <c:pt idx="33">
                  <c:v>34.4</c:v>
                </c:pt>
                <c:pt idx="34">
                  <c:v>36.49</c:v>
                </c:pt>
                <c:pt idx="35">
                  <c:v>39.1</c:v>
                </c:pt>
                <c:pt idx="36">
                  <c:v>41.53</c:v>
                </c:pt>
                <c:pt idx="37">
                  <c:v>42.65</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41.24</c:v>
                </c:pt>
                <c:pt idx="58">
                  <c:v>41.06</c:v>
                </c:pt>
                <c:pt idx="59">
                  <c:v>41.75</c:v>
                </c:pt>
                <c:pt idx="60">
                  <c:v>41.36</c:v>
                </c:pt>
                <c:pt idx="61">
                  <c:v>40.64</c:v>
                </c:pt>
                <c:pt idx="62">
                  <c:v>41.36</c:v>
                </c:pt>
                <c:pt idx="63">
                  <c:v>41.11</c:v>
                </c:pt>
                <c:pt idx="64">
                  <c:v>40.51</c:v>
                </c:pt>
                <c:pt idx="65">
                  <c:v>40.17</c:v>
                </c:pt>
                <c:pt idx="66">
                  <c:v>39.909999999999997</c:v>
                </c:pt>
                <c:pt idx="67">
                  <c:v>39.61</c:v>
                </c:pt>
                <c:pt idx="68">
                  <c:v>39.36</c:v>
                </c:pt>
                <c:pt idx="69">
                  <c:v>#N/A</c:v>
                </c:pt>
              </c:numCache>
            </c:numRef>
          </c:val>
          <c:smooth val="1"/>
          <c:extLst>
            <c:ext xmlns:c16="http://schemas.microsoft.com/office/drawing/2014/chart" uri="{C3380CC4-5D6E-409C-BE32-E72D297353CC}">
              <c16:uniqueId val="{00000013-FE20-4D29-AAA6-6A589EC872A3}"/>
            </c:ext>
          </c:extLst>
        </c:ser>
        <c:ser>
          <c:idx val="20"/>
          <c:order val="20"/>
          <c:tx>
            <c:strRef>
              <c:f>'Top 25 (Pop&gt; 200K)'!$V$41</c:f>
              <c:strCache>
                <c:ptCount val="1"/>
                <c:pt idx="0">
                  <c:v>Marion, IN</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200K)'!$V$42:$V$111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4-FE20-4D29-AAA6-6A589EC872A3}"/>
            </c:ext>
          </c:extLst>
        </c:ser>
        <c:ser>
          <c:idx val="21"/>
          <c:order val="21"/>
          <c:tx>
            <c:strRef>
              <c:f>'Top 25 (Pop&gt; 200K)'!$W$41</c:f>
              <c:strCache>
                <c:ptCount val="1"/>
                <c:pt idx="0">
                  <c:v>District of Columbia, DC</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200K)'!$W$42:$W$111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5-FE20-4D29-AAA6-6A589EC872A3}"/>
            </c:ext>
          </c:extLst>
        </c:ser>
        <c:ser>
          <c:idx val="22"/>
          <c:order val="22"/>
          <c:tx>
            <c:strRef>
              <c:f>'Top 25 (Pop&gt; 200K)'!$X$41</c:f>
              <c:strCache>
                <c:ptCount val="1"/>
                <c:pt idx="0">
                  <c:v>Richmond (city), VA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200K)'!$X$42:$X$111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6-FE20-4D29-AAA6-6A589EC872A3}"/>
            </c:ext>
          </c:extLst>
        </c:ser>
        <c:ser>
          <c:idx val="23"/>
          <c:order val="23"/>
          <c:tx>
            <c:strRef>
              <c:f>'Top 25 (Pop&gt; 200K)'!$Y$41</c:f>
              <c:strCache>
                <c:ptCount val="1"/>
                <c:pt idx="0">
                  <c:v>Milwaukee, WI</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200K)'!$Y$42:$Y$111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7-FE20-4D29-AAA6-6A589EC872A3}"/>
            </c:ext>
          </c:extLst>
        </c:ser>
        <c:ser>
          <c:idx val="24"/>
          <c:order val="24"/>
          <c:tx>
            <c:strRef>
              <c:f>'Top 25 (Pop&gt; 200K)'!$Z$41</c:f>
              <c:strCache>
                <c:ptCount val="1"/>
                <c:pt idx="0">
                  <c:v>Thurston, WA</c:v>
                </c:pt>
              </c:strCache>
            </c:strRef>
          </c:tx>
          <c:spPr>
            <a:ln>
              <a:prstDash val="solid"/>
            </a:ln>
          </c:spPr>
          <c:marker>
            <c:symbol val="none"/>
          </c:marker>
          <c:cat>
            <c:strRef>
              <c:f>'Top 25 (Pop&gt; 200K)'!$A$42:$A$111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(Pop&gt; 200K)'!$Z$42:$Z$111</c:f>
              <c:numCache>
                <c:formatCode>0.0</c:formatCode>
                <c:ptCount val="70"/>
                <c:pt idx="0">
                  <c:v>12.88</c:v>
                </c:pt>
                <c:pt idx="1">
                  <c:v>12.21</c:v>
                </c:pt>
                <c:pt idx="2">
                  <c:v>10.89</c:v>
                </c:pt>
                <c:pt idx="3">
                  <c:v>10.89</c:v>
                </c:pt>
                <c:pt idx="4">
                  <c:v>11.55</c:v>
                </c:pt>
                <c:pt idx="5">
                  <c:v>13.54</c:v>
                </c:pt>
                <c:pt idx="6">
                  <c:v>14.2</c:v>
                </c:pt>
                <c:pt idx="7">
                  <c:v>12.88</c:v>
                </c:pt>
                <c:pt idx="8">
                  <c:v>13.54</c:v>
                </c:pt>
                <c:pt idx="9">
                  <c:v>15.52</c:v>
                </c:pt>
                <c:pt idx="10">
                  <c:v>15.52</c:v>
                </c:pt>
                <c:pt idx="11">
                  <c:v>16.510000000000002</c:v>
                </c:pt>
                <c:pt idx="12">
                  <c:v>17.170000000000002</c:v>
                </c:pt>
                <c:pt idx="13">
                  <c:v>18.16</c:v>
                </c:pt>
                <c:pt idx="14">
                  <c:v>20.14</c:v>
                </c:pt>
                <c:pt idx="15">
                  <c:v>20.14</c:v>
                </c:pt>
                <c:pt idx="16">
                  <c:v>20.8</c:v>
                </c:pt>
                <c:pt idx="17">
                  <c:v>21.13</c:v>
                </c:pt>
                <c:pt idx="18">
                  <c:v>22.12</c:v>
                </c:pt>
                <c:pt idx="19">
                  <c:v>23.44</c:v>
                </c:pt>
                <c:pt idx="20">
                  <c:v>24.43</c:v>
                </c:pt>
                <c:pt idx="21">
                  <c:v>25.09</c:v>
                </c:pt>
                <c:pt idx="22">
                  <c:v>27.4</c:v>
                </c:pt>
                <c:pt idx="23">
                  <c:v>30.37</c:v>
                </c:pt>
                <c:pt idx="24">
                  <c:v>32.020000000000003</c:v>
                </c:pt>
                <c:pt idx="25">
                  <c:v>32.68</c:v>
                </c:pt>
                <c:pt idx="26">
                  <c:v>33.67</c:v>
                </c:pt>
                <c:pt idx="27">
                  <c:v>35.979999999999997</c:v>
                </c:pt>
                <c:pt idx="28">
                  <c:v>38.630000000000003</c:v>
                </c:pt>
                <c:pt idx="29">
                  <c:v>39.619999999999997</c:v>
                </c:pt>
                <c:pt idx="30">
                  <c:v>41.27</c:v>
                </c:pt>
                <c:pt idx="31">
                  <c:v>44.9</c:v>
                </c:pt>
                <c:pt idx="32">
                  <c:v>42.92</c:v>
                </c:pt>
                <c:pt idx="33">
                  <c:v>41.93</c:v>
                </c:pt>
                <c:pt idx="34">
                  <c:v>41.27</c:v>
                </c:pt>
                <c:pt idx="35">
                  <c:v>42.26</c:v>
                </c:pt>
                <c:pt idx="36">
                  <c:v>42.26</c:v>
                </c:pt>
                <c:pt idx="37">
                  <c:v>41.93</c:v>
                </c:pt>
                <c:pt idx="38">
                  <c:v>41.27</c:v>
                </c:pt>
                <c:pt idx="39">
                  <c:v>40.94</c:v>
                </c:pt>
                <c:pt idx="40">
                  <c:v>39.29</c:v>
                </c:pt>
                <c:pt idx="41">
                  <c:v>40.28</c:v>
                </c:pt>
                <c:pt idx="42">
                  <c:v>39.619999999999997</c:v>
                </c:pt>
                <c:pt idx="43">
                  <c:v>37.630000000000003</c:v>
                </c:pt>
                <c:pt idx="44">
                  <c:v>39.29</c:v>
                </c:pt>
                <c:pt idx="45">
                  <c:v>40.28</c:v>
                </c:pt>
                <c:pt idx="46">
                  <c:v>40.61</c:v>
                </c:pt>
                <c:pt idx="47">
                  <c:v>39.619999999999997</c:v>
                </c:pt>
                <c:pt idx="48">
                  <c:v>39.29</c:v>
                </c:pt>
                <c:pt idx="49">
                  <c:v>40.28</c:v>
                </c:pt>
                <c:pt idx="50">
                  <c:v>40.28</c:v>
                </c:pt>
                <c:pt idx="51">
                  <c:v>38.96</c:v>
                </c:pt>
                <c:pt idx="52">
                  <c:v>38.96</c:v>
                </c:pt>
                <c:pt idx="53">
                  <c:v>38.29</c:v>
                </c:pt>
                <c:pt idx="54">
                  <c:v>39.619999999999997</c:v>
                </c:pt>
                <c:pt idx="55">
                  <c:v>38.630000000000003</c:v>
                </c:pt>
                <c:pt idx="56">
                  <c:v>40.61</c:v>
                </c:pt>
                <c:pt idx="57">
                  <c:v>40.61</c:v>
                </c:pt>
                <c:pt idx="58">
                  <c:v>41.93</c:v>
                </c:pt>
                <c:pt idx="59">
                  <c:v>39.950000000000003</c:v>
                </c:pt>
                <c:pt idx="60">
                  <c:v>41.6</c:v>
                </c:pt>
                <c:pt idx="61">
                  <c:v>41.93</c:v>
                </c:pt>
                <c:pt idx="62">
                  <c:v>41.27</c:v>
                </c:pt>
                <c:pt idx="63">
                  <c:v>41.93</c:v>
                </c:pt>
                <c:pt idx="64">
                  <c:v>42.26</c:v>
                </c:pt>
                <c:pt idx="65">
                  <c:v>39.619999999999997</c:v>
                </c:pt>
                <c:pt idx="66">
                  <c:v>38.29</c:v>
                </c:pt>
                <c:pt idx="67">
                  <c:v>38.29</c:v>
                </c:pt>
                <c:pt idx="68">
                  <c:v>36.64</c:v>
                </c:pt>
                <c:pt idx="69">
                  <c:v>#N/A</c:v>
                </c:pt>
              </c:numCache>
            </c:numRef>
          </c:val>
          <c:smooth val="1"/>
          <c:extLst>
            <c:ext xmlns:c16="http://schemas.microsoft.com/office/drawing/2014/chart" uri="{C3380CC4-5D6E-409C-BE32-E72D297353CC}">
              <c16:uniqueId val="{00000018-FE20-4D29-AAA6-6A589EC872A3}"/>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rPr lang="en-US"/>
                  <a:t>12-month 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rPr lang="en-US"/>
                  <a:t>Overdose deaths per 100,000 (12-mo trailing)</a:t>
                </a:r>
              </a:p>
            </c:rich>
          </c:tx>
          <c:overlay val="1"/>
        </c:title>
        <c:numFmt formatCode="0.0" sourceLinked="1"/>
        <c:majorTickMark val="none"/>
        <c:minorTickMark val="none"/>
        <c:tickLblPos val="nextTo"/>
        <c:crossAx val="10"/>
        <c:crosses val="autoZero"/>
        <c:crossBetween val="between"/>
      </c:valAx>
    </c:plotArea>
    <c:legend>
      <c:legendPos val="r"/>
      <c:overlay val="1"/>
    </c:legend>
    <c:plotVisOnly val="1"/>
    <c:dispBlanksAs val="gap"/>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rPr lang="en-US"/>
              <a:t>Top 25 U.S. Counties &amp; County-Equivalents (Pop &gt;300K) by Overdose Death Rate</a:t>
            </a:r>
          </a:p>
        </c:rich>
      </c:tx>
      <c:overlay val="1"/>
    </c:title>
    <c:autoTitleDeleted val="0"/>
    <c:plotArea>
      <c:layout/>
      <c:barChart>
        <c:barDir val="bar"/>
        <c:grouping val="clustered"/>
        <c:varyColors val="1"/>
        <c:ser>
          <c:idx val="0"/>
          <c:order val="0"/>
          <c:tx>
            <c:strRef>
              <c:f>'Top 25 (Pop &gt;300K)'!$F$5</c:f>
              <c:strCache>
                <c:ptCount val="1"/>
                <c:pt idx="0">
                  <c:v>Rate per 100,000</c:v>
                </c:pt>
              </c:strCache>
            </c:strRef>
          </c:tx>
          <c:spPr>
            <a:ln>
              <a:prstDash val="solid"/>
            </a:ln>
          </c:spPr>
          <c:invertIfNegative val="1"/>
          <c:dLbls>
            <c:spPr>
              <a:noFill/>
              <a:ln>
                <a:noFill/>
                <a:prstDash val="solid"/>
              </a:ln>
            </c:spPr>
            <c:showLegendKey val="1"/>
            <c:showVal val="1"/>
            <c:showCatName val="1"/>
            <c:showSerName val="1"/>
            <c:showPercent val="1"/>
            <c:showBubbleSize val="1"/>
            <c:showLeaderLines val="0"/>
            <c:extLst>
              <c:ext xmlns:c15="http://schemas.microsoft.com/office/drawing/2012/chart" uri="{CE6537A1-D6FC-4f65-9D91-7224C49458BB}">
                <c15:showLeaderLines val="0"/>
              </c:ext>
            </c:extLst>
          </c:dLbls>
          <c:cat>
            <c:strRef>
              <c:f>'Top 25 (Pop &gt;300K)'!$B$6:$B$30</c:f>
              <c:strCache>
                <c:ptCount val="25"/>
                <c:pt idx="0">
                  <c:v>Baltimore city</c:v>
                </c:pt>
                <c:pt idx="1">
                  <c:v>Spokane County</c:v>
                </c:pt>
                <c:pt idx="2">
                  <c:v>San Francisco County</c:v>
                </c:pt>
                <c:pt idx="3">
                  <c:v>El Paso County</c:v>
                </c:pt>
                <c:pt idx="4">
                  <c:v>Philadelphia County</c:v>
                </c:pt>
                <c:pt idx="5">
                  <c:v>Multnomah County</c:v>
                </c:pt>
                <c:pt idx="6">
                  <c:v>Denver County</c:v>
                </c:pt>
                <c:pt idx="7">
                  <c:v>Orleans Parish</c:v>
                </c:pt>
                <c:pt idx="8">
                  <c:v>Pierce County</c:v>
                </c:pt>
                <c:pt idx="9">
                  <c:v>Knox County</c:v>
                </c:pt>
                <c:pt idx="10">
                  <c:v>Bernalillo County</c:v>
                </c:pt>
                <c:pt idx="11">
                  <c:v>Davidson County</c:v>
                </c:pt>
                <c:pt idx="12">
                  <c:v>Bronx County</c:v>
                </c:pt>
                <c:pt idx="13">
                  <c:v>King County</c:v>
                </c:pt>
                <c:pt idx="14">
                  <c:v>Marion County</c:v>
                </c:pt>
                <c:pt idx="15">
                  <c:v>District of Columbia</c:v>
                </c:pt>
                <c:pt idx="16">
                  <c:v>Milwaukee County</c:v>
                </c:pt>
                <c:pt idx="17">
                  <c:v>Thurston County</c:v>
                </c:pt>
                <c:pt idx="18">
                  <c:v>Jefferson County</c:v>
                </c:pt>
                <c:pt idx="19">
                  <c:v>Pima County</c:v>
                </c:pt>
                <c:pt idx="20">
                  <c:v>Washoe County</c:v>
                </c:pt>
                <c:pt idx="21">
                  <c:v>New Castle County</c:v>
                </c:pt>
                <c:pt idx="22">
                  <c:v>Shelby County</c:v>
                </c:pt>
                <c:pt idx="23">
                  <c:v>Escambia County</c:v>
                </c:pt>
                <c:pt idx="24">
                  <c:v>Snohomish County</c:v>
                </c:pt>
              </c:strCache>
            </c:strRef>
          </c:cat>
          <c:val>
            <c:numRef>
              <c:f>'Top 25 (Pop &gt;300K)'!$F$6:$F$30</c:f>
              <c:numCache>
                <c:formatCode>0.0</c:formatCode>
                <c:ptCount val="25"/>
                <c:pt idx="0">
                  <c:v>87.634244928915962</c:v>
                </c:pt>
                <c:pt idx="1">
                  <c:v>57.919190138628331</c:v>
                </c:pt>
                <c:pt idx="2">
                  <c:v>57.15832493480567</c:v>
                </c:pt>
                <c:pt idx="3">
                  <c:v>55.395259122284038</c:v>
                </c:pt>
                <c:pt idx="4">
                  <c:v>55.27613926029089</c:v>
                </c:pt>
                <c:pt idx="5">
                  <c:v>53.147580654280638</c:v>
                </c:pt>
                <c:pt idx="6">
                  <c:v>50.753135377815944</c:v>
                </c:pt>
                <c:pt idx="7">
                  <c:v>48.52481796300534</c:v>
                </c:pt>
                <c:pt idx="8">
                  <c:v>46.219067756090823</c:v>
                </c:pt>
                <c:pt idx="9">
                  <c:v>45.979461191756059</c:v>
                </c:pt>
                <c:pt idx="10">
                  <c:v>45.850595536712483</c:v>
                </c:pt>
                <c:pt idx="11">
                  <c:v>42.220409729885333</c:v>
                </c:pt>
                <c:pt idx="12">
                  <c:v>42.030036310484974</c:v>
                </c:pt>
                <c:pt idx="13">
                  <c:v>39.355425643243279</c:v>
                </c:pt>
                <c:pt idx="14">
                  <c:v>39.220560130721616</c:v>
                </c:pt>
                <c:pt idx="15">
                  <c:v>38.447846208615168</c:v>
                </c:pt>
                <c:pt idx="16">
                  <c:v>36.767091290524903</c:v>
                </c:pt>
                <c:pt idx="17">
                  <c:v>36.644305937037821</c:v>
                </c:pt>
                <c:pt idx="18">
                  <c:v>36.025550428842607</c:v>
                </c:pt>
                <c:pt idx="19">
                  <c:v>36.013549982456119</c:v>
                </c:pt>
                <c:pt idx="20">
                  <c:v>35.483362245702565</c:v>
                </c:pt>
                <c:pt idx="21">
                  <c:v>35.368555653612603</c:v>
                </c:pt>
                <c:pt idx="22">
                  <c:v>35.364018758305605</c:v>
                </c:pt>
                <c:pt idx="23">
                  <c:v>34.412497170024906</c:v>
                </c:pt>
                <c:pt idx="24">
                  <c:v>34.023327967522768</c:v>
                </c:pt>
              </c:numCache>
            </c:numRef>
          </c:val>
          <c:extLst>
            <c:ext xmlns:c16="http://schemas.microsoft.com/office/drawing/2014/chart" uri="{C3380CC4-5D6E-409C-BE32-E72D297353CC}">
              <c16:uniqueId val="{00000000-D7B1-427B-9D2A-E96E30ACAA10}"/>
            </c:ext>
          </c:extLst>
        </c:ser>
        <c:dLbls>
          <c:showLegendKey val="1"/>
          <c:showVal val="1"/>
          <c:showCatName val="1"/>
          <c:showSerName val="1"/>
          <c:showPercent val="1"/>
          <c:showBubbleSize val="1"/>
        </c:dLbls>
        <c:gapWidth val="150"/>
        <c:axId val="10"/>
        <c:axId val="100"/>
      </c:barChart>
      <c:catAx>
        <c:axId val="10"/>
        <c:scaling>
          <c:orientation val="minMax"/>
        </c:scaling>
        <c:delete val="1"/>
        <c:axPos val="l"/>
        <c:title>
          <c:tx>
            <c:rich>
              <a:bodyPr/>
              <a:lstStyle/>
              <a:p>
                <a:pPr>
                  <a:defRPr/>
                </a:pPr>
                <a:r>
                  <a:rPr lang="en-US"/>
                  <a:t>Rate per 100,000</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b"/>
        <c:majorGridlines/>
        <c:numFmt formatCode="0.0" sourceLinked="1"/>
        <c:majorTickMark val="none"/>
        <c:minorTickMark val="none"/>
        <c:tickLblPos val="nextTo"/>
        <c:crossAx val="10"/>
        <c:crosses val="autoZero"/>
        <c:crossBetween val="between"/>
      </c:valAx>
    </c:plotArea>
    <c:plotVisOnly val="1"/>
    <c:dispBlanksAs val="gap"/>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rPr lang="en-US"/>
              <a:t>12-Month-Ending Overdose Rate per 100,000 — Top 25 (Pop &gt;300K)</a:t>
            </a:r>
          </a:p>
        </c:rich>
      </c:tx>
      <c:overlay val="1"/>
    </c:title>
    <c:autoTitleDeleted val="0"/>
    <c:plotArea>
      <c:layout/>
      <c:lineChart>
        <c:grouping val="standard"/>
        <c:varyColors val="1"/>
        <c:ser>
          <c:idx val="0"/>
          <c:order val="0"/>
          <c:tx>
            <c:strRef>
              <c:f>'Top 25 (Pop &gt;300K)'!$B$41</c:f>
              <c:strCache>
                <c:ptCount val="1"/>
                <c:pt idx="0">
                  <c:v>Baltimore (city), MD</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&gt;300K)'!$B$42:$B$111</c:f>
              <c:numCache>
                <c:formatCode>0.0</c:formatCode>
                <c:ptCount val="70"/>
                <c:pt idx="0">
                  <c:v>120.19</c:v>
                </c:pt>
                <c:pt idx="1">
                  <c:v>117.9</c:v>
                </c:pt>
                <c:pt idx="2">
                  <c:v>117.9</c:v>
                </c:pt>
                <c:pt idx="3">
                  <c:v>117.2</c:v>
                </c:pt>
                <c:pt idx="4">
                  <c:v>121.24</c:v>
                </c:pt>
                <c:pt idx="5">
                  <c:v>124.06</c:v>
                </c:pt>
                <c:pt idx="6">
                  <c:v>126.7</c:v>
                </c:pt>
                <c:pt idx="7">
                  <c:v>131.44999999999999</c:v>
                </c:pt>
                <c:pt idx="8">
                  <c:v>137.08000000000001</c:v>
                </c:pt>
                <c:pt idx="9">
                  <c:v>142.88999999999999</c:v>
                </c:pt>
                <c:pt idx="10">
                  <c:v>143.41999999999999</c:v>
                </c:pt>
                <c:pt idx="11">
                  <c:v>146.41</c:v>
                </c:pt>
                <c:pt idx="12">
                  <c:v>150.46</c:v>
                </c:pt>
                <c:pt idx="13">
                  <c:v>153.80000000000001</c:v>
                </c:pt>
                <c:pt idx="14">
                  <c:v>152.74</c:v>
                </c:pt>
                <c:pt idx="15">
                  <c:v>156.26</c:v>
                </c:pt>
                <c:pt idx="16">
                  <c:v>158.55000000000001</c:v>
                </c:pt>
                <c:pt idx="17">
                  <c:v>163.30000000000001</c:v>
                </c:pt>
                <c:pt idx="18">
                  <c:v>165.77</c:v>
                </c:pt>
                <c:pt idx="19">
                  <c:v>162.41999999999999</c:v>
                </c:pt>
                <c:pt idx="20">
                  <c:v>159.96</c:v>
                </c:pt>
                <c:pt idx="21">
                  <c:v>155.56</c:v>
                </c:pt>
                <c:pt idx="22">
                  <c:v>153.80000000000001</c:v>
                </c:pt>
                <c:pt idx="23">
                  <c:v>154.33000000000001</c:v>
                </c:pt>
                <c:pt idx="24">
                  <c:v>152.04</c:v>
                </c:pt>
                <c:pt idx="25">
                  <c:v>150.28</c:v>
                </c:pt>
                <c:pt idx="26">
                  <c:v>151.34</c:v>
                </c:pt>
                <c:pt idx="27">
                  <c:v>147.29</c:v>
                </c:pt>
                <c:pt idx="28">
                  <c:v>144.30000000000001</c:v>
                </c:pt>
                <c:pt idx="29">
                  <c:v>138.84</c:v>
                </c:pt>
                <c:pt idx="30">
                  <c:v>134.97</c:v>
                </c:pt>
                <c:pt idx="31">
                  <c:v>135.66999999999999</c:v>
                </c:pt>
                <c:pt idx="32">
                  <c:v>132.86000000000001</c:v>
                </c:pt>
                <c:pt idx="33">
                  <c:v>133.21</c:v>
                </c:pt>
                <c:pt idx="34">
                  <c:v>138.13999999999999</c:v>
                </c:pt>
                <c:pt idx="35">
                  <c:v>138.49</c:v>
                </c:pt>
                <c:pt idx="36">
                  <c:v>136.38</c:v>
                </c:pt>
                <c:pt idx="37">
                  <c:v>136.72999999999999</c:v>
                </c:pt>
                <c:pt idx="38">
                  <c:v>136.38</c:v>
                </c:pt>
                <c:pt idx="39">
                  <c:v>140.43</c:v>
                </c:pt>
                <c:pt idx="40">
                  <c:v>142.36000000000001</c:v>
                </c:pt>
                <c:pt idx="41">
                  <c:v>144.47</c:v>
                </c:pt>
                <c:pt idx="42">
                  <c:v>147.99</c:v>
                </c:pt>
                <c:pt idx="43">
                  <c:v>145.71</c:v>
                </c:pt>
                <c:pt idx="44">
                  <c:v>147.99</c:v>
                </c:pt>
                <c:pt idx="45">
                  <c:v>151.86000000000001</c:v>
                </c:pt>
                <c:pt idx="46">
                  <c:v>149.22</c:v>
                </c:pt>
                <c:pt idx="47">
                  <c:v>148.87</c:v>
                </c:pt>
                <c:pt idx="48">
                  <c:v>150.97999999999999</c:v>
                </c:pt>
                <c:pt idx="49">
                  <c:v>150.46</c:v>
                </c:pt>
                <c:pt idx="50">
                  <c:v>146.58000000000001</c:v>
                </c:pt>
                <c:pt idx="51">
                  <c:v>143.77000000000001</c:v>
                </c:pt>
                <c:pt idx="52">
                  <c:v>138.66999999999999</c:v>
                </c:pt>
                <c:pt idx="53">
                  <c:v>135.66999999999999</c:v>
                </c:pt>
                <c:pt idx="54">
                  <c:v>132.51</c:v>
                </c:pt>
                <c:pt idx="55">
                  <c:v>131.97999999999999</c:v>
                </c:pt>
                <c:pt idx="56">
                  <c:v>129.69</c:v>
                </c:pt>
                <c:pt idx="57">
                  <c:v>121.77</c:v>
                </c:pt>
                <c:pt idx="58">
                  <c:v>116.32</c:v>
                </c:pt>
                <c:pt idx="59">
                  <c:v>111.74</c:v>
                </c:pt>
                <c:pt idx="60">
                  <c:v>109.45</c:v>
                </c:pt>
                <c:pt idx="61">
                  <c:v>105.58</c:v>
                </c:pt>
                <c:pt idx="62">
                  <c:v>106.64</c:v>
                </c:pt>
                <c:pt idx="63">
                  <c:v>101.54</c:v>
                </c:pt>
                <c:pt idx="64">
                  <c:v>99.25</c:v>
                </c:pt>
                <c:pt idx="65">
                  <c:v>93.27</c:v>
                </c:pt>
                <c:pt idx="66">
                  <c:v>89.75</c:v>
                </c:pt>
                <c:pt idx="67">
                  <c:v>88.16</c:v>
                </c:pt>
                <c:pt idx="68">
                  <c:v>87.63</c:v>
                </c:pt>
                <c:pt idx="69">
                  <c:v>#N/A</c:v>
                </c:pt>
              </c:numCache>
            </c:numRef>
          </c:val>
          <c:smooth val="1"/>
          <c:extLst>
            <c:ext xmlns:c16="http://schemas.microsoft.com/office/drawing/2014/chart" uri="{C3380CC4-5D6E-409C-BE32-E72D297353CC}">
              <c16:uniqueId val="{00000000-2A91-4641-B74A-9DD135941E2E}"/>
            </c:ext>
          </c:extLst>
        </c:ser>
        <c:ser>
          <c:idx val="1"/>
          <c:order val="1"/>
          <c:tx>
            <c:strRef>
              <c:f>'Top 25 (Pop &gt;300K)'!$C$41</c:f>
              <c:strCache>
                <c:ptCount val="1"/>
                <c:pt idx="0">
                  <c:v>Spokane, WA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&gt;300K)'!$C$42:$C$111</c:f>
              <c:numCache>
                <c:formatCode>0.0</c:formatCode>
                <c:ptCount val="70"/>
                <c:pt idx="0">
                  <c:v>14.93</c:v>
                </c:pt>
                <c:pt idx="1">
                  <c:v>15.29</c:v>
                </c:pt>
                <c:pt idx="2">
                  <c:v>15.83</c:v>
                </c:pt>
                <c:pt idx="3">
                  <c:v>16.010000000000002</c:v>
                </c:pt>
                <c:pt idx="4">
                  <c:v>15.29</c:v>
                </c:pt>
                <c:pt idx="5">
                  <c:v>16.37</c:v>
                </c:pt>
                <c:pt idx="6">
                  <c:v>16.55</c:v>
                </c:pt>
                <c:pt idx="7">
                  <c:v>16.91</c:v>
                </c:pt>
                <c:pt idx="8">
                  <c:v>16.55</c:v>
                </c:pt>
                <c:pt idx="9">
                  <c:v>17.09</c:v>
                </c:pt>
                <c:pt idx="10">
                  <c:v>17.809999999999999</c:v>
                </c:pt>
                <c:pt idx="11">
                  <c:v>18.53</c:v>
                </c:pt>
                <c:pt idx="12">
                  <c:v>17.63</c:v>
                </c:pt>
                <c:pt idx="13">
                  <c:v>17.45</c:v>
                </c:pt>
                <c:pt idx="14">
                  <c:v>18.71</c:v>
                </c:pt>
                <c:pt idx="15">
                  <c:v>19.79</c:v>
                </c:pt>
                <c:pt idx="16">
                  <c:v>19.61</c:v>
                </c:pt>
                <c:pt idx="17">
                  <c:v>19.97</c:v>
                </c:pt>
                <c:pt idx="18">
                  <c:v>23.38</c:v>
                </c:pt>
                <c:pt idx="19">
                  <c:v>25.18</c:v>
                </c:pt>
                <c:pt idx="20">
                  <c:v>27.88</c:v>
                </c:pt>
                <c:pt idx="21">
                  <c:v>30.4</c:v>
                </c:pt>
                <c:pt idx="22">
                  <c:v>32.020000000000003</c:v>
                </c:pt>
                <c:pt idx="23">
                  <c:v>33.1</c:v>
                </c:pt>
                <c:pt idx="24">
                  <c:v>34.72</c:v>
                </c:pt>
                <c:pt idx="25">
                  <c:v>36.69</c:v>
                </c:pt>
                <c:pt idx="26">
                  <c:v>38.49</c:v>
                </c:pt>
                <c:pt idx="27">
                  <c:v>38.67</c:v>
                </c:pt>
                <c:pt idx="28">
                  <c:v>40.47</c:v>
                </c:pt>
                <c:pt idx="29">
                  <c:v>41.37</c:v>
                </c:pt>
                <c:pt idx="30">
                  <c:v>40.11</c:v>
                </c:pt>
                <c:pt idx="31">
                  <c:v>39.39</c:v>
                </c:pt>
                <c:pt idx="32">
                  <c:v>38.31</c:v>
                </c:pt>
                <c:pt idx="33">
                  <c:v>38.49</c:v>
                </c:pt>
                <c:pt idx="34">
                  <c:v>38.49</c:v>
                </c:pt>
                <c:pt idx="35">
                  <c:v>38.85</c:v>
                </c:pt>
                <c:pt idx="36">
                  <c:v>39.57</c:v>
                </c:pt>
                <c:pt idx="37">
                  <c:v>40.11</c:v>
                </c:pt>
                <c:pt idx="38">
                  <c:v>39.39</c:v>
                </c:pt>
                <c:pt idx="39">
                  <c:v>39.93</c:v>
                </c:pt>
                <c:pt idx="40">
                  <c:v>40.11</c:v>
                </c:pt>
                <c:pt idx="41">
                  <c:v>40.29</c:v>
                </c:pt>
                <c:pt idx="42">
                  <c:v>41.73</c:v>
                </c:pt>
                <c:pt idx="43">
                  <c:v>42.45</c:v>
                </c:pt>
                <c:pt idx="44">
                  <c:v>42.99</c:v>
                </c:pt>
                <c:pt idx="45">
                  <c:v>41.01</c:v>
                </c:pt>
                <c:pt idx="46">
                  <c:v>40.65</c:v>
                </c:pt>
                <c:pt idx="47">
                  <c:v>41.91</c:v>
                </c:pt>
                <c:pt idx="48">
                  <c:v>42.63</c:v>
                </c:pt>
                <c:pt idx="49">
                  <c:v>44.25</c:v>
                </c:pt>
                <c:pt idx="50">
                  <c:v>45.87</c:v>
                </c:pt>
                <c:pt idx="51">
                  <c:v>47.85</c:v>
                </c:pt>
                <c:pt idx="52">
                  <c:v>49.11</c:v>
                </c:pt>
                <c:pt idx="53">
                  <c:v>50.54</c:v>
                </c:pt>
                <c:pt idx="54">
                  <c:v>51.08</c:v>
                </c:pt>
                <c:pt idx="55">
                  <c:v>51.08</c:v>
                </c:pt>
                <c:pt idx="56">
                  <c:v>52.88</c:v>
                </c:pt>
                <c:pt idx="57">
                  <c:v>55.4</c:v>
                </c:pt>
                <c:pt idx="58">
                  <c:v>56.12</c:v>
                </c:pt>
                <c:pt idx="59">
                  <c:v>56.84</c:v>
                </c:pt>
                <c:pt idx="60">
                  <c:v>59.36</c:v>
                </c:pt>
                <c:pt idx="61">
                  <c:v>59.36</c:v>
                </c:pt>
                <c:pt idx="62">
                  <c:v>59.72</c:v>
                </c:pt>
                <c:pt idx="63">
                  <c:v>59.54</c:v>
                </c:pt>
                <c:pt idx="64">
                  <c:v>58.64</c:v>
                </c:pt>
                <c:pt idx="65">
                  <c:v>57.56</c:v>
                </c:pt>
                <c:pt idx="66">
                  <c:v>58.28</c:v>
                </c:pt>
                <c:pt idx="67">
                  <c:v>59.54</c:v>
                </c:pt>
                <c:pt idx="68">
                  <c:v>57.92</c:v>
                </c:pt>
                <c:pt idx="69">
                  <c:v>61.88</c:v>
                </c:pt>
              </c:numCache>
            </c:numRef>
          </c:val>
          <c:smooth val="1"/>
          <c:extLst>
            <c:ext xmlns:c16="http://schemas.microsoft.com/office/drawing/2014/chart" uri="{C3380CC4-5D6E-409C-BE32-E72D297353CC}">
              <c16:uniqueId val="{00000001-2A91-4641-B74A-9DD135941E2E}"/>
            </c:ext>
          </c:extLst>
        </c:ser>
        <c:ser>
          <c:idx val="2"/>
          <c:order val="2"/>
          <c:tx>
            <c:strRef>
              <c:f>'Top 25 (Pop &gt;300K)'!$D$41</c:f>
              <c:strCache>
                <c:ptCount val="1"/>
                <c:pt idx="0">
                  <c:v>San Francisco, CA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&gt;300K)'!$D$42:$D$111</c:f>
              <c:numCache>
                <c:formatCode>0.0</c:formatCode>
                <c:ptCount val="70"/>
                <c:pt idx="0">
                  <c:v>49.06</c:v>
                </c:pt>
                <c:pt idx="1">
                  <c:v>50.27</c:v>
                </c:pt>
                <c:pt idx="2">
                  <c:v>52.81</c:v>
                </c:pt>
                <c:pt idx="3">
                  <c:v>55.22</c:v>
                </c:pt>
                <c:pt idx="4">
                  <c:v>60.18</c:v>
                </c:pt>
                <c:pt idx="5">
                  <c:v>62.72</c:v>
                </c:pt>
                <c:pt idx="6">
                  <c:v>66.7</c:v>
                </c:pt>
                <c:pt idx="7">
                  <c:v>68.400000000000006</c:v>
                </c:pt>
                <c:pt idx="8">
                  <c:v>68.28</c:v>
                </c:pt>
                <c:pt idx="9">
                  <c:v>69.61</c:v>
                </c:pt>
                <c:pt idx="10">
                  <c:v>68.150000000000006</c:v>
                </c:pt>
                <c:pt idx="11">
                  <c:v>66.099999999999994</c:v>
                </c:pt>
                <c:pt idx="12">
                  <c:v>69</c:v>
                </c:pt>
                <c:pt idx="13">
                  <c:v>70.81</c:v>
                </c:pt>
                <c:pt idx="14">
                  <c:v>71.3</c:v>
                </c:pt>
                <c:pt idx="15">
                  <c:v>71.3</c:v>
                </c:pt>
                <c:pt idx="16">
                  <c:v>68.64</c:v>
                </c:pt>
                <c:pt idx="17">
                  <c:v>66.459999999999994</c:v>
                </c:pt>
                <c:pt idx="18">
                  <c:v>63.8</c:v>
                </c:pt>
                <c:pt idx="19">
                  <c:v>60.78</c:v>
                </c:pt>
                <c:pt idx="20">
                  <c:v>61.51</c:v>
                </c:pt>
                <c:pt idx="21">
                  <c:v>62.23</c:v>
                </c:pt>
                <c:pt idx="22">
                  <c:v>65.010000000000005</c:v>
                </c:pt>
                <c:pt idx="23">
                  <c:v>66.95</c:v>
                </c:pt>
                <c:pt idx="24">
                  <c:v>64.89</c:v>
                </c:pt>
                <c:pt idx="25">
                  <c:v>63.68</c:v>
                </c:pt>
                <c:pt idx="26">
                  <c:v>61.87</c:v>
                </c:pt>
                <c:pt idx="27">
                  <c:v>61.87</c:v>
                </c:pt>
                <c:pt idx="28">
                  <c:v>61.27</c:v>
                </c:pt>
                <c:pt idx="29">
                  <c:v>60.78</c:v>
                </c:pt>
                <c:pt idx="30">
                  <c:v>59.21</c:v>
                </c:pt>
                <c:pt idx="31">
                  <c:v>58.97</c:v>
                </c:pt>
                <c:pt idx="32">
                  <c:v>58.13</c:v>
                </c:pt>
                <c:pt idx="33">
                  <c:v>56.55</c:v>
                </c:pt>
                <c:pt idx="34">
                  <c:v>55.71</c:v>
                </c:pt>
                <c:pt idx="35">
                  <c:v>57.4</c:v>
                </c:pt>
                <c:pt idx="36">
                  <c:v>60.54</c:v>
                </c:pt>
                <c:pt idx="37">
                  <c:v>59.33</c:v>
                </c:pt>
                <c:pt idx="38">
                  <c:v>61.27</c:v>
                </c:pt>
                <c:pt idx="39">
                  <c:v>63.44</c:v>
                </c:pt>
                <c:pt idx="40">
                  <c:v>67.19</c:v>
                </c:pt>
                <c:pt idx="41">
                  <c:v>67.67</c:v>
                </c:pt>
                <c:pt idx="42">
                  <c:v>70.69</c:v>
                </c:pt>
                <c:pt idx="43">
                  <c:v>74.08</c:v>
                </c:pt>
                <c:pt idx="44">
                  <c:v>74.56</c:v>
                </c:pt>
                <c:pt idx="45">
                  <c:v>76.73</c:v>
                </c:pt>
                <c:pt idx="46">
                  <c:v>76.98</c:v>
                </c:pt>
                <c:pt idx="47">
                  <c:v>74.680000000000007</c:v>
                </c:pt>
                <c:pt idx="48">
                  <c:v>72.989999999999995</c:v>
                </c:pt>
                <c:pt idx="49">
                  <c:v>73.59</c:v>
                </c:pt>
                <c:pt idx="50">
                  <c:v>74.8</c:v>
                </c:pt>
                <c:pt idx="51">
                  <c:v>73.11</c:v>
                </c:pt>
                <c:pt idx="52">
                  <c:v>71.540000000000006</c:v>
                </c:pt>
                <c:pt idx="53">
                  <c:v>71.42</c:v>
                </c:pt>
                <c:pt idx="54">
                  <c:v>69.12</c:v>
                </c:pt>
                <c:pt idx="55">
                  <c:v>65.86</c:v>
                </c:pt>
                <c:pt idx="56">
                  <c:v>63.8</c:v>
                </c:pt>
                <c:pt idx="57">
                  <c:v>61.15</c:v>
                </c:pt>
                <c:pt idx="58">
                  <c:v>59.82</c:v>
                </c:pt>
                <c:pt idx="59">
                  <c:v>59.58</c:v>
                </c:pt>
                <c:pt idx="60">
                  <c:v>59.58</c:v>
                </c:pt>
                <c:pt idx="61">
                  <c:v>60.42</c:v>
                </c:pt>
                <c:pt idx="62">
                  <c:v>59.09</c:v>
                </c:pt>
                <c:pt idx="63">
                  <c:v>58.61</c:v>
                </c:pt>
                <c:pt idx="64">
                  <c:v>56.67</c:v>
                </c:pt>
                <c:pt idx="65">
                  <c:v>56.07</c:v>
                </c:pt>
                <c:pt idx="66">
                  <c:v>56.8</c:v>
                </c:pt>
                <c:pt idx="67">
                  <c:v>56.43</c:v>
                </c:pt>
                <c:pt idx="68">
                  <c:v>57.16</c:v>
                </c:pt>
                <c:pt idx="69">
                  <c:v>#N/A</c:v>
                </c:pt>
              </c:numCache>
            </c:numRef>
          </c:val>
          <c:smooth val="1"/>
          <c:extLst>
            <c:ext xmlns:c16="http://schemas.microsoft.com/office/drawing/2014/chart" uri="{C3380CC4-5D6E-409C-BE32-E72D297353CC}">
              <c16:uniqueId val="{00000002-2A91-4641-B74A-9DD135941E2E}"/>
            </c:ext>
          </c:extLst>
        </c:ser>
        <c:ser>
          <c:idx val="3"/>
          <c:order val="3"/>
          <c:tx>
            <c:strRef>
              <c:f>'Top 25 (Pop &gt;300K)'!$E$41</c:f>
              <c:strCache>
                <c:ptCount val="1"/>
                <c:pt idx="0">
                  <c:v>El Paso, CO</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&gt;300K)'!$E$42:$E$111</c:f>
              <c:numCache>
                <c:formatCode>0.0</c:formatCode>
                <c:ptCount val="70"/>
                <c:pt idx="0">
                  <c:v>25.37</c:v>
                </c:pt>
                <c:pt idx="1">
                  <c:v>25.51</c:v>
                </c:pt>
                <c:pt idx="2">
                  <c:v>25.24</c:v>
                </c:pt>
                <c:pt idx="3">
                  <c:v>26.83</c:v>
                </c:pt>
                <c:pt idx="4">
                  <c:v>29.09</c:v>
                </c:pt>
                <c:pt idx="5">
                  <c:v>28.96</c:v>
                </c:pt>
                <c:pt idx="6">
                  <c:v>31.09</c:v>
                </c:pt>
                <c:pt idx="7">
                  <c:v>32.68</c:v>
                </c:pt>
                <c:pt idx="8">
                  <c:v>34.14</c:v>
                </c:pt>
                <c:pt idx="9">
                  <c:v>33.869999999999997</c:v>
                </c:pt>
                <c:pt idx="10">
                  <c:v>34.270000000000003</c:v>
                </c:pt>
                <c:pt idx="11">
                  <c:v>35.47</c:v>
                </c:pt>
                <c:pt idx="12">
                  <c:v>37.200000000000003</c:v>
                </c:pt>
                <c:pt idx="13">
                  <c:v>38.130000000000003</c:v>
                </c:pt>
                <c:pt idx="14">
                  <c:v>39.99</c:v>
                </c:pt>
                <c:pt idx="15">
                  <c:v>40.520000000000003</c:v>
                </c:pt>
                <c:pt idx="16">
                  <c:v>40.520000000000003</c:v>
                </c:pt>
                <c:pt idx="17">
                  <c:v>40.520000000000003</c:v>
                </c:pt>
                <c:pt idx="18">
                  <c:v>41.98</c:v>
                </c:pt>
                <c:pt idx="19">
                  <c:v>41.71</c:v>
                </c:pt>
                <c:pt idx="20">
                  <c:v>42.51</c:v>
                </c:pt>
                <c:pt idx="21">
                  <c:v>45.03</c:v>
                </c:pt>
                <c:pt idx="22">
                  <c:v>45.83</c:v>
                </c:pt>
                <c:pt idx="23">
                  <c:v>45.96</c:v>
                </c:pt>
                <c:pt idx="24">
                  <c:v>46.36</c:v>
                </c:pt>
                <c:pt idx="25">
                  <c:v>47.69</c:v>
                </c:pt>
                <c:pt idx="26">
                  <c:v>47.16</c:v>
                </c:pt>
                <c:pt idx="27">
                  <c:v>46.63</c:v>
                </c:pt>
                <c:pt idx="28">
                  <c:v>47.16</c:v>
                </c:pt>
                <c:pt idx="29">
                  <c:v>47.29</c:v>
                </c:pt>
                <c:pt idx="30">
                  <c:v>45.7</c:v>
                </c:pt>
                <c:pt idx="31">
                  <c:v>46.1</c:v>
                </c:pt>
                <c:pt idx="32">
                  <c:v>45.17</c:v>
                </c:pt>
                <c:pt idx="33">
                  <c:v>44.9</c:v>
                </c:pt>
                <c:pt idx="34">
                  <c:v>47.42</c:v>
                </c:pt>
                <c:pt idx="35">
                  <c:v>49.55</c:v>
                </c:pt>
                <c:pt idx="36">
                  <c:v>49.55</c:v>
                </c:pt>
                <c:pt idx="37">
                  <c:v>49.42</c:v>
                </c:pt>
                <c:pt idx="38">
                  <c:v>50.08</c:v>
                </c:pt>
                <c:pt idx="39">
                  <c:v>51.68</c:v>
                </c:pt>
                <c:pt idx="40">
                  <c:v>51.81</c:v>
                </c:pt>
                <c:pt idx="41">
                  <c:v>53.67</c:v>
                </c:pt>
                <c:pt idx="42">
                  <c:v>54.33</c:v>
                </c:pt>
                <c:pt idx="43">
                  <c:v>55.79</c:v>
                </c:pt>
                <c:pt idx="44">
                  <c:v>57.65</c:v>
                </c:pt>
                <c:pt idx="45">
                  <c:v>59.25</c:v>
                </c:pt>
                <c:pt idx="46">
                  <c:v>58.45</c:v>
                </c:pt>
                <c:pt idx="47">
                  <c:v>57.12</c:v>
                </c:pt>
                <c:pt idx="48">
                  <c:v>57.39</c:v>
                </c:pt>
                <c:pt idx="49">
                  <c:v>58.05</c:v>
                </c:pt>
                <c:pt idx="50">
                  <c:v>58.72</c:v>
                </c:pt>
                <c:pt idx="51">
                  <c:v>57.12</c:v>
                </c:pt>
                <c:pt idx="52">
                  <c:v>56.59</c:v>
                </c:pt>
                <c:pt idx="53">
                  <c:v>56.06</c:v>
                </c:pt>
                <c:pt idx="54">
                  <c:v>54.6</c:v>
                </c:pt>
                <c:pt idx="55">
                  <c:v>51.01</c:v>
                </c:pt>
                <c:pt idx="56">
                  <c:v>48.22</c:v>
                </c:pt>
                <c:pt idx="57">
                  <c:v>46.76</c:v>
                </c:pt>
                <c:pt idx="58">
                  <c:v>45.83</c:v>
                </c:pt>
                <c:pt idx="59">
                  <c:v>46.76</c:v>
                </c:pt>
                <c:pt idx="60">
                  <c:v>46.36</c:v>
                </c:pt>
                <c:pt idx="61">
                  <c:v>46.36</c:v>
                </c:pt>
                <c:pt idx="62">
                  <c:v>48.35</c:v>
                </c:pt>
                <c:pt idx="63">
                  <c:v>49.68</c:v>
                </c:pt>
                <c:pt idx="64">
                  <c:v>50.48</c:v>
                </c:pt>
                <c:pt idx="65">
                  <c:v>49.42</c:v>
                </c:pt>
                <c:pt idx="66">
                  <c:v>51.94</c:v>
                </c:pt>
                <c:pt idx="67">
                  <c:v>53.67</c:v>
                </c:pt>
                <c:pt idx="68">
                  <c:v>55.4</c:v>
                </c:pt>
                <c:pt idx="69">
                  <c:v>#N/A</c:v>
                </c:pt>
              </c:numCache>
            </c:numRef>
          </c:val>
          <c:smooth val="1"/>
          <c:extLst>
            <c:ext xmlns:c16="http://schemas.microsoft.com/office/drawing/2014/chart" uri="{C3380CC4-5D6E-409C-BE32-E72D297353CC}">
              <c16:uniqueId val="{00000003-2A91-4641-B74A-9DD135941E2E}"/>
            </c:ext>
          </c:extLst>
        </c:ser>
        <c:ser>
          <c:idx val="4"/>
          <c:order val="4"/>
          <c:tx>
            <c:strRef>
              <c:f>'Top 25 (Pop &gt;300K)'!$F$41</c:f>
              <c:strCache>
                <c:ptCount val="1"/>
                <c:pt idx="0">
                  <c:v>Philadelphia, PA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&gt;300K)'!$F$42:$F$111</c:f>
              <c:numCache>
                <c:formatCode>0.0</c:formatCode>
                <c:ptCount val="70"/>
                <c:pt idx="0">
                  <c:v>#N/A</c:v>
                </c:pt>
                <c:pt idx="1">
                  <c:v>63.47</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62.9</c:v>
                </c:pt>
                <c:pt idx="57">
                  <c:v>62.39</c:v>
                </c:pt>
                <c:pt idx="58">
                  <c:v>60.74</c:v>
                </c:pt>
                <c:pt idx="59">
                  <c:v>59.53</c:v>
                </c:pt>
                <c:pt idx="60">
                  <c:v>58.96</c:v>
                </c:pt>
                <c:pt idx="61">
                  <c:v>58.33</c:v>
                </c:pt>
                <c:pt idx="62">
                  <c:v>57.94</c:v>
                </c:pt>
                <c:pt idx="63">
                  <c:v>58.26</c:v>
                </c:pt>
                <c:pt idx="64">
                  <c:v>59.41</c:v>
                </c:pt>
                <c:pt idx="65">
                  <c:v>58.9</c:v>
                </c:pt>
                <c:pt idx="66">
                  <c:v>56.55</c:v>
                </c:pt>
                <c:pt idx="67">
                  <c:v>55.85</c:v>
                </c:pt>
                <c:pt idx="68">
                  <c:v>55.28</c:v>
                </c:pt>
                <c:pt idx="69">
                  <c:v>#N/A</c:v>
                </c:pt>
              </c:numCache>
            </c:numRef>
          </c:val>
          <c:smooth val="1"/>
          <c:extLst>
            <c:ext xmlns:c16="http://schemas.microsoft.com/office/drawing/2014/chart" uri="{C3380CC4-5D6E-409C-BE32-E72D297353CC}">
              <c16:uniqueId val="{00000004-2A91-4641-B74A-9DD135941E2E}"/>
            </c:ext>
          </c:extLst>
        </c:ser>
        <c:ser>
          <c:idx val="5"/>
          <c:order val="5"/>
          <c:tx>
            <c:strRef>
              <c:f>'Top 25 (Pop &gt;300K)'!$G$41</c:f>
              <c:strCache>
                <c:ptCount val="1"/>
                <c:pt idx="0">
                  <c:v>Multnomah, OR</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&gt;300K)'!$G$42:$G$111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5-2A91-4641-B74A-9DD135941E2E}"/>
            </c:ext>
          </c:extLst>
        </c:ser>
        <c:ser>
          <c:idx val="6"/>
          <c:order val="6"/>
          <c:tx>
            <c:strRef>
              <c:f>'Top 25 (Pop &gt;300K)'!$H$41</c:f>
              <c:strCache>
                <c:ptCount val="1"/>
                <c:pt idx="0">
                  <c:v>Denver, CO</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&gt;300K)'!$H$42:$H$111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6-2A91-4641-B74A-9DD135941E2E}"/>
            </c:ext>
          </c:extLst>
        </c:ser>
        <c:ser>
          <c:idx val="7"/>
          <c:order val="7"/>
          <c:tx>
            <c:strRef>
              <c:f>'Top 25 (Pop &gt;300K)'!$I$41</c:f>
              <c:strCache>
                <c:ptCount val="1"/>
                <c:pt idx="0">
                  <c:v>Orleans, LA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&gt;300K)'!$I$42:$I$111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7-2A91-4641-B74A-9DD135941E2E}"/>
            </c:ext>
          </c:extLst>
        </c:ser>
        <c:ser>
          <c:idx val="8"/>
          <c:order val="8"/>
          <c:tx>
            <c:strRef>
              <c:f>'Top 25 (Pop &gt;300K)'!$J$41</c:f>
              <c:strCache>
                <c:ptCount val="1"/>
                <c:pt idx="0">
                  <c:v>Pierce, WA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&gt;300K)'!$J$42:$J$111</c:f>
              <c:numCache>
                <c:formatCode>0.0</c:formatCode>
                <c:ptCount val="70"/>
                <c:pt idx="0">
                  <c:v>15.73</c:v>
                </c:pt>
                <c:pt idx="1">
                  <c:v>15.19</c:v>
                </c:pt>
                <c:pt idx="2">
                  <c:v>16.149999999999999</c:v>
                </c:pt>
                <c:pt idx="3">
                  <c:v>18.170000000000002</c:v>
                </c:pt>
                <c:pt idx="4">
                  <c:v>19.87</c:v>
                </c:pt>
                <c:pt idx="5">
                  <c:v>20.079999999999998</c:v>
                </c:pt>
                <c:pt idx="6">
                  <c:v>21.78</c:v>
                </c:pt>
                <c:pt idx="7">
                  <c:v>21.99</c:v>
                </c:pt>
                <c:pt idx="8">
                  <c:v>23.27</c:v>
                </c:pt>
                <c:pt idx="9">
                  <c:v>24.12</c:v>
                </c:pt>
                <c:pt idx="10">
                  <c:v>25.5</c:v>
                </c:pt>
                <c:pt idx="11">
                  <c:v>26.35</c:v>
                </c:pt>
                <c:pt idx="12">
                  <c:v>27.09</c:v>
                </c:pt>
                <c:pt idx="13">
                  <c:v>28.05</c:v>
                </c:pt>
                <c:pt idx="14">
                  <c:v>28.58</c:v>
                </c:pt>
                <c:pt idx="15">
                  <c:v>29.54</c:v>
                </c:pt>
                <c:pt idx="16">
                  <c:v>30.07</c:v>
                </c:pt>
                <c:pt idx="17">
                  <c:v>31.77</c:v>
                </c:pt>
                <c:pt idx="18">
                  <c:v>33.47</c:v>
                </c:pt>
                <c:pt idx="19">
                  <c:v>36.130000000000003</c:v>
                </c:pt>
                <c:pt idx="20">
                  <c:v>35.81</c:v>
                </c:pt>
                <c:pt idx="21">
                  <c:v>35.81</c:v>
                </c:pt>
                <c:pt idx="22">
                  <c:v>35.28</c:v>
                </c:pt>
                <c:pt idx="23">
                  <c:v>36.229999999999997</c:v>
                </c:pt>
                <c:pt idx="24">
                  <c:v>37.4</c:v>
                </c:pt>
                <c:pt idx="25">
                  <c:v>38.25</c:v>
                </c:pt>
                <c:pt idx="26">
                  <c:v>37.83</c:v>
                </c:pt>
                <c:pt idx="27">
                  <c:v>37.29</c:v>
                </c:pt>
                <c:pt idx="28">
                  <c:v>35.81</c:v>
                </c:pt>
                <c:pt idx="29">
                  <c:v>35.380000000000003</c:v>
                </c:pt>
                <c:pt idx="30">
                  <c:v>35.590000000000003</c:v>
                </c:pt>
                <c:pt idx="31">
                  <c:v>33.36</c:v>
                </c:pt>
                <c:pt idx="32">
                  <c:v>32.409999999999997</c:v>
                </c:pt>
                <c:pt idx="33">
                  <c:v>33.89</c:v>
                </c:pt>
                <c:pt idx="34">
                  <c:v>34.74</c:v>
                </c:pt>
                <c:pt idx="35">
                  <c:v>37.19</c:v>
                </c:pt>
                <c:pt idx="36">
                  <c:v>37.83</c:v>
                </c:pt>
                <c:pt idx="37">
                  <c:v>38.14</c:v>
                </c:pt>
                <c:pt idx="38">
                  <c:v>39.21</c:v>
                </c:pt>
                <c:pt idx="39">
                  <c:v>40.479999999999997</c:v>
                </c:pt>
                <c:pt idx="40">
                  <c:v>43.03</c:v>
                </c:pt>
                <c:pt idx="41">
                  <c:v>45.26</c:v>
                </c:pt>
                <c:pt idx="42">
                  <c:v>45.48</c:v>
                </c:pt>
                <c:pt idx="43">
                  <c:v>46.96</c:v>
                </c:pt>
                <c:pt idx="44">
                  <c:v>49.09</c:v>
                </c:pt>
                <c:pt idx="45">
                  <c:v>49.41</c:v>
                </c:pt>
                <c:pt idx="46">
                  <c:v>49.83</c:v>
                </c:pt>
                <c:pt idx="47">
                  <c:v>48.66</c:v>
                </c:pt>
                <c:pt idx="48">
                  <c:v>48.56</c:v>
                </c:pt>
                <c:pt idx="49">
                  <c:v>49.41</c:v>
                </c:pt>
                <c:pt idx="50">
                  <c:v>49.09</c:v>
                </c:pt>
                <c:pt idx="51">
                  <c:v>48.13</c:v>
                </c:pt>
                <c:pt idx="52">
                  <c:v>47.81</c:v>
                </c:pt>
                <c:pt idx="53">
                  <c:v>46.01</c:v>
                </c:pt>
                <c:pt idx="54">
                  <c:v>44.94</c:v>
                </c:pt>
                <c:pt idx="55">
                  <c:v>43.03</c:v>
                </c:pt>
                <c:pt idx="56">
                  <c:v>42.18</c:v>
                </c:pt>
                <c:pt idx="57">
                  <c:v>41.65</c:v>
                </c:pt>
                <c:pt idx="58">
                  <c:v>40.909999999999997</c:v>
                </c:pt>
                <c:pt idx="59">
                  <c:v>41.65</c:v>
                </c:pt>
                <c:pt idx="60">
                  <c:v>43.67</c:v>
                </c:pt>
                <c:pt idx="61">
                  <c:v>43.99</c:v>
                </c:pt>
                <c:pt idx="62">
                  <c:v>46.75</c:v>
                </c:pt>
                <c:pt idx="63">
                  <c:v>47.49</c:v>
                </c:pt>
                <c:pt idx="64">
                  <c:v>46.75</c:v>
                </c:pt>
                <c:pt idx="65">
                  <c:v>46.43</c:v>
                </c:pt>
                <c:pt idx="66">
                  <c:v>45.05</c:v>
                </c:pt>
                <c:pt idx="67">
                  <c:v>46.22</c:v>
                </c:pt>
                <c:pt idx="68">
                  <c:v>46.22</c:v>
                </c:pt>
                <c:pt idx="69">
                  <c:v>#N/A</c:v>
                </c:pt>
              </c:numCache>
            </c:numRef>
          </c:val>
          <c:smooth val="1"/>
          <c:extLst>
            <c:ext xmlns:c16="http://schemas.microsoft.com/office/drawing/2014/chart" uri="{C3380CC4-5D6E-409C-BE32-E72D297353CC}">
              <c16:uniqueId val="{00000008-2A91-4641-B74A-9DD135941E2E}"/>
            </c:ext>
          </c:extLst>
        </c:ser>
        <c:ser>
          <c:idx val="9"/>
          <c:order val="9"/>
          <c:tx>
            <c:strRef>
              <c:f>'Top 25 (Pop &gt;300K)'!$K$41</c:f>
              <c:strCache>
                <c:ptCount val="1"/>
                <c:pt idx="0">
                  <c:v>Knox, TN</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&gt;300K)'!$K$42:$K$111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9-2A91-4641-B74A-9DD135941E2E}"/>
            </c:ext>
          </c:extLst>
        </c:ser>
        <c:ser>
          <c:idx val="10"/>
          <c:order val="10"/>
          <c:tx>
            <c:strRef>
              <c:f>'Top 25 (Pop &gt;300K)'!$L$41</c:f>
              <c:strCache>
                <c:ptCount val="1"/>
                <c:pt idx="0">
                  <c:v>Bernalillo, NM</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&gt;300K)'!$L$42:$L$111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A-2A91-4641-B74A-9DD135941E2E}"/>
            </c:ext>
          </c:extLst>
        </c:ser>
        <c:ser>
          <c:idx val="11"/>
          <c:order val="11"/>
          <c:tx>
            <c:strRef>
              <c:f>'Top 25 (Pop &gt;300K)'!$M$41</c:f>
              <c:strCache>
                <c:ptCount val="1"/>
                <c:pt idx="0">
                  <c:v>Davidson, TN</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&gt;300K)'!$M$42:$M$111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B-2A91-4641-B74A-9DD135941E2E}"/>
            </c:ext>
          </c:extLst>
        </c:ser>
        <c:ser>
          <c:idx val="12"/>
          <c:order val="12"/>
          <c:tx>
            <c:strRef>
              <c:f>'Top 25 (Pop &gt;300K)'!$N$41</c:f>
              <c:strCache>
                <c:ptCount val="1"/>
                <c:pt idx="0">
                  <c:v>Bronx, NY</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&gt;300K)'!$N$42:$N$111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C-2A91-4641-B74A-9DD135941E2E}"/>
            </c:ext>
          </c:extLst>
        </c:ser>
        <c:ser>
          <c:idx val="13"/>
          <c:order val="13"/>
          <c:tx>
            <c:strRef>
              <c:f>'Top 25 (Pop &gt;300K)'!$O$41</c:f>
              <c:strCache>
                <c:ptCount val="1"/>
                <c:pt idx="0">
                  <c:v>King, WA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&gt;300K)'!$O$42:$O$111</c:f>
              <c:numCache>
                <c:formatCode>0.0</c:formatCode>
                <c:ptCount val="70"/>
                <c:pt idx="0">
                  <c:v>17.43</c:v>
                </c:pt>
                <c:pt idx="1">
                  <c:v>17.61</c:v>
                </c:pt>
                <c:pt idx="2">
                  <c:v>18.29</c:v>
                </c:pt>
                <c:pt idx="3">
                  <c:v>19.309999999999999</c:v>
                </c:pt>
                <c:pt idx="4">
                  <c:v>20.21</c:v>
                </c:pt>
                <c:pt idx="5">
                  <c:v>20.77</c:v>
                </c:pt>
                <c:pt idx="6">
                  <c:v>21.28</c:v>
                </c:pt>
                <c:pt idx="7">
                  <c:v>21.15</c:v>
                </c:pt>
                <c:pt idx="8">
                  <c:v>20.77</c:v>
                </c:pt>
                <c:pt idx="9">
                  <c:v>20.72</c:v>
                </c:pt>
                <c:pt idx="10">
                  <c:v>21.11</c:v>
                </c:pt>
                <c:pt idx="11">
                  <c:v>21.15</c:v>
                </c:pt>
                <c:pt idx="12">
                  <c:v>22.09</c:v>
                </c:pt>
                <c:pt idx="13">
                  <c:v>22.13</c:v>
                </c:pt>
                <c:pt idx="14">
                  <c:v>22.43</c:v>
                </c:pt>
                <c:pt idx="15">
                  <c:v>22.6</c:v>
                </c:pt>
                <c:pt idx="16">
                  <c:v>23.54</c:v>
                </c:pt>
                <c:pt idx="17">
                  <c:v>24.48</c:v>
                </c:pt>
                <c:pt idx="18">
                  <c:v>25.04</c:v>
                </c:pt>
                <c:pt idx="19">
                  <c:v>25.3</c:v>
                </c:pt>
                <c:pt idx="20">
                  <c:v>26.49</c:v>
                </c:pt>
                <c:pt idx="21">
                  <c:v>27.31</c:v>
                </c:pt>
                <c:pt idx="22">
                  <c:v>27.9</c:v>
                </c:pt>
                <c:pt idx="23">
                  <c:v>28.5</c:v>
                </c:pt>
                <c:pt idx="24">
                  <c:v>28.8</c:v>
                </c:pt>
                <c:pt idx="25">
                  <c:v>28.93</c:v>
                </c:pt>
                <c:pt idx="26">
                  <c:v>29.27</c:v>
                </c:pt>
                <c:pt idx="27">
                  <c:v>29.14</c:v>
                </c:pt>
                <c:pt idx="28">
                  <c:v>29.01</c:v>
                </c:pt>
                <c:pt idx="29">
                  <c:v>29.01</c:v>
                </c:pt>
                <c:pt idx="30">
                  <c:v>29.66</c:v>
                </c:pt>
                <c:pt idx="31">
                  <c:v>32.130000000000003</c:v>
                </c:pt>
                <c:pt idx="32">
                  <c:v>33.159999999999997</c:v>
                </c:pt>
                <c:pt idx="33">
                  <c:v>34.4</c:v>
                </c:pt>
                <c:pt idx="34">
                  <c:v>36.49</c:v>
                </c:pt>
                <c:pt idx="35">
                  <c:v>39.1</c:v>
                </c:pt>
                <c:pt idx="36">
                  <c:v>41.53</c:v>
                </c:pt>
                <c:pt idx="37">
                  <c:v>42.65</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41.24</c:v>
                </c:pt>
                <c:pt idx="58">
                  <c:v>41.06</c:v>
                </c:pt>
                <c:pt idx="59">
                  <c:v>41.75</c:v>
                </c:pt>
                <c:pt idx="60">
                  <c:v>41.36</c:v>
                </c:pt>
                <c:pt idx="61">
                  <c:v>40.64</c:v>
                </c:pt>
                <c:pt idx="62">
                  <c:v>41.36</c:v>
                </c:pt>
                <c:pt idx="63">
                  <c:v>41.11</c:v>
                </c:pt>
                <c:pt idx="64">
                  <c:v>40.51</c:v>
                </c:pt>
                <c:pt idx="65">
                  <c:v>40.17</c:v>
                </c:pt>
                <c:pt idx="66">
                  <c:v>39.909999999999997</c:v>
                </c:pt>
                <c:pt idx="67">
                  <c:v>39.61</c:v>
                </c:pt>
                <c:pt idx="68">
                  <c:v>39.36</c:v>
                </c:pt>
                <c:pt idx="69">
                  <c:v>#N/A</c:v>
                </c:pt>
              </c:numCache>
            </c:numRef>
          </c:val>
          <c:smooth val="1"/>
          <c:extLst>
            <c:ext xmlns:c16="http://schemas.microsoft.com/office/drawing/2014/chart" uri="{C3380CC4-5D6E-409C-BE32-E72D297353CC}">
              <c16:uniqueId val="{0000000D-2A91-4641-B74A-9DD135941E2E}"/>
            </c:ext>
          </c:extLst>
        </c:ser>
        <c:ser>
          <c:idx val="14"/>
          <c:order val="14"/>
          <c:tx>
            <c:strRef>
              <c:f>'Top 25 (Pop &gt;300K)'!$P$41</c:f>
              <c:strCache>
                <c:ptCount val="1"/>
                <c:pt idx="0">
                  <c:v>Marion, IN</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&gt;300K)'!$P$42:$P$111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E-2A91-4641-B74A-9DD135941E2E}"/>
            </c:ext>
          </c:extLst>
        </c:ser>
        <c:ser>
          <c:idx val="15"/>
          <c:order val="15"/>
          <c:tx>
            <c:strRef>
              <c:f>'Top 25 (Pop &gt;300K)'!$Q$41</c:f>
              <c:strCache>
                <c:ptCount val="1"/>
                <c:pt idx="0">
                  <c:v>District of Columbia, DC</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&gt;300K)'!$Q$42:$Q$111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F-2A91-4641-B74A-9DD135941E2E}"/>
            </c:ext>
          </c:extLst>
        </c:ser>
        <c:ser>
          <c:idx val="16"/>
          <c:order val="16"/>
          <c:tx>
            <c:strRef>
              <c:f>'Top 25 (Pop &gt;300K)'!$R$41</c:f>
              <c:strCache>
                <c:ptCount val="1"/>
                <c:pt idx="0">
                  <c:v>Milwaukee, WI</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&gt;300K)'!$R$42:$R$111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0-2A91-4641-B74A-9DD135941E2E}"/>
            </c:ext>
          </c:extLst>
        </c:ser>
        <c:ser>
          <c:idx val="17"/>
          <c:order val="17"/>
          <c:tx>
            <c:strRef>
              <c:f>'Top 25 (Pop &gt;300K)'!$S$41</c:f>
              <c:strCache>
                <c:ptCount val="1"/>
                <c:pt idx="0">
                  <c:v>Thurston, WA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&gt;300K)'!$S$42:$S$111</c:f>
              <c:numCache>
                <c:formatCode>0.0</c:formatCode>
                <c:ptCount val="70"/>
                <c:pt idx="0">
                  <c:v>12.88</c:v>
                </c:pt>
                <c:pt idx="1">
                  <c:v>12.21</c:v>
                </c:pt>
                <c:pt idx="2">
                  <c:v>10.89</c:v>
                </c:pt>
                <c:pt idx="3">
                  <c:v>10.89</c:v>
                </c:pt>
                <c:pt idx="4">
                  <c:v>11.55</c:v>
                </c:pt>
                <c:pt idx="5">
                  <c:v>13.54</c:v>
                </c:pt>
                <c:pt idx="6">
                  <c:v>14.2</c:v>
                </c:pt>
                <c:pt idx="7">
                  <c:v>12.88</c:v>
                </c:pt>
                <c:pt idx="8">
                  <c:v>13.54</c:v>
                </c:pt>
                <c:pt idx="9">
                  <c:v>15.52</c:v>
                </c:pt>
                <c:pt idx="10">
                  <c:v>15.52</c:v>
                </c:pt>
                <c:pt idx="11">
                  <c:v>16.510000000000002</c:v>
                </c:pt>
                <c:pt idx="12">
                  <c:v>17.170000000000002</c:v>
                </c:pt>
                <c:pt idx="13">
                  <c:v>18.16</c:v>
                </c:pt>
                <c:pt idx="14">
                  <c:v>20.14</c:v>
                </c:pt>
                <c:pt idx="15">
                  <c:v>20.14</c:v>
                </c:pt>
                <c:pt idx="16">
                  <c:v>20.8</c:v>
                </c:pt>
                <c:pt idx="17">
                  <c:v>21.13</c:v>
                </c:pt>
                <c:pt idx="18">
                  <c:v>22.12</c:v>
                </c:pt>
                <c:pt idx="19">
                  <c:v>23.44</c:v>
                </c:pt>
                <c:pt idx="20">
                  <c:v>24.43</c:v>
                </c:pt>
                <c:pt idx="21">
                  <c:v>25.09</c:v>
                </c:pt>
                <c:pt idx="22">
                  <c:v>27.4</c:v>
                </c:pt>
                <c:pt idx="23">
                  <c:v>30.37</c:v>
                </c:pt>
                <c:pt idx="24">
                  <c:v>32.020000000000003</c:v>
                </c:pt>
                <c:pt idx="25">
                  <c:v>32.68</c:v>
                </c:pt>
                <c:pt idx="26">
                  <c:v>33.67</c:v>
                </c:pt>
                <c:pt idx="27">
                  <c:v>35.979999999999997</c:v>
                </c:pt>
                <c:pt idx="28">
                  <c:v>38.630000000000003</c:v>
                </c:pt>
                <c:pt idx="29">
                  <c:v>39.619999999999997</c:v>
                </c:pt>
                <c:pt idx="30">
                  <c:v>41.27</c:v>
                </c:pt>
                <c:pt idx="31">
                  <c:v>44.9</c:v>
                </c:pt>
                <c:pt idx="32">
                  <c:v>42.92</c:v>
                </c:pt>
                <c:pt idx="33">
                  <c:v>41.93</c:v>
                </c:pt>
                <c:pt idx="34">
                  <c:v>41.27</c:v>
                </c:pt>
                <c:pt idx="35">
                  <c:v>42.26</c:v>
                </c:pt>
                <c:pt idx="36">
                  <c:v>42.26</c:v>
                </c:pt>
                <c:pt idx="37">
                  <c:v>41.93</c:v>
                </c:pt>
                <c:pt idx="38">
                  <c:v>41.27</c:v>
                </c:pt>
                <c:pt idx="39">
                  <c:v>40.94</c:v>
                </c:pt>
                <c:pt idx="40">
                  <c:v>39.29</c:v>
                </c:pt>
                <c:pt idx="41">
                  <c:v>40.28</c:v>
                </c:pt>
                <c:pt idx="42">
                  <c:v>39.619999999999997</c:v>
                </c:pt>
                <c:pt idx="43">
                  <c:v>37.630000000000003</c:v>
                </c:pt>
                <c:pt idx="44">
                  <c:v>39.29</c:v>
                </c:pt>
                <c:pt idx="45">
                  <c:v>40.28</c:v>
                </c:pt>
                <c:pt idx="46">
                  <c:v>40.61</c:v>
                </c:pt>
                <c:pt idx="47">
                  <c:v>39.619999999999997</c:v>
                </c:pt>
                <c:pt idx="48">
                  <c:v>39.29</c:v>
                </c:pt>
                <c:pt idx="49">
                  <c:v>40.28</c:v>
                </c:pt>
                <c:pt idx="50">
                  <c:v>40.28</c:v>
                </c:pt>
                <c:pt idx="51">
                  <c:v>38.96</c:v>
                </c:pt>
                <c:pt idx="52">
                  <c:v>38.96</c:v>
                </c:pt>
                <c:pt idx="53">
                  <c:v>38.29</c:v>
                </c:pt>
                <c:pt idx="54">
                  <c:v>39.619999999999997</c:v>
                </c:pt>
                <c:pt idx="55">
                  <c:v>38.630000000000003</c:v>
                </c:pt>
                <c:pt idx="56">
                  <c:v>40.61</c:v>
                </c:pt>
                <c:pt idx="57">
                  <c:v>40.61</c:v>
                </c:pt>
                <c:pt idx="58">
                  <c:v>41.93</c:v>
                </c:pt>
                <c:pt idx="59">
                  <c:v>39.950000000000003</c:v>
                </c:pt>
                <c:pt idx="60">
                  <c:v>41.6</c:v>
                </c:pt>
                <c:pt idx="61">
                  <c:v>41.93</c:v>
                </c:pt>
                <c:pt idx="62">
                  <c:v>41.27</c:v>
                </c:pt>
                <c:pt idx="63">
                  <c:v>41.93</c:v>
                </c:pt>
                <c:pt idx="64">
                  <c:v>42.26</c:v>
                </c:pt>
                <c:pt idx="65">
                  <c:v>39.619999999999997</c:v>
                </c:pt>
                <c:pt idx="66">
                  <c:v>38.29</c:v>
                </c:pt>
                <c:pt idx="67">
                  <c:v>38.29</c:v>
                </c:pt>
                <c:pt idx="68">
                  <c:v>36.64</c:v>
                </c:pt>
                <c:pt idx="69">
                  <c:v>#N/A</c:v>
                </c:pt>
              </c:numCache>
            </c:numRef>
          </c:val>
          <c:smooth val="1"/>
          <c:extLst>
            <c:ext xmlns:c16="http://schemas.microsoft.com/office/drawing/2014/chart" uri="{C3380CC4-5D6E-409C-BE32-E72D297353CC}">
              <c16:uniqueId val="{00000011-2A91-4641-B74A-9DD135941E2E}"/>
            </c:ext>
          </c:extLst>
        </c:ser>
        <c:ser>
          <c:idx val="18"/>
          <c:order val="18"/>
          <c:tx>
            <c:strRef>
              <c:f>'Top 25 (Pop &gt;300K)'!$T$41</c:f>
              <c:strCache>
                <c:ptCount val="1"/>
                <c:pt idx="0">
                  <c:v>Jefferson, KY</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&gt;300K)'!$T$42:$T$111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2-2A91-4641-B74A-9DD135941E2E}"/>
            </c:ext>
          </c:extLst>
        </c:ser>
        <c:ser>
          <c:idx val="19"/>
          <c:order val="19"/>
          <c:tx>
            <c:strRef>
              <c:f>'Top 25 (Pop &gt;300K)'!$U$41</c:f>
              <c:strCache>
                <c:ptCount val="1"/>
                <c:pt idx="0">
                  <c:v>Pima, AZ</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&gt;300K)'!$U$42:$U$111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3-2A91-4641-B74A-9DD135941E2E}"/>
            </c:ext>
          </c:extLst>
        </c:ser>
        <c:ser>
          <c:idx val="20"/>
          <c:order val="20"/>
          <c:tx>
            <c:strRef>
              <c:f>'Top 25 (Pop &gt;300K)'!$V$41</c:f>
              <c:strCache>
                <c:ptCount val="1"/>
                <c:pt idx="0">
                  <c:v>Washoe, NV</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&gt;300K)'!$V$42:$V$111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4-2A91-4641-B74A-9DD135941E2E}"/>
            </c:ext>
          </c:extLst>
        </c:ser>
        <c:ser>
          <c:idx val="21"/>
          <c:order val="21"/>
          <c:tx>
            <c:strRef>
              <c:f>'Top 25 (Pop &gt;300K)'!$W$41</c:f>
              <c:strCache>
                <c:ptCount val="1"/>
                <c:pt idx="0">
                  <c:v>New Castle, DE</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&gt;300K)'!$W$42:$W$111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5-2A91-4641-B74A-9DD135941E2E}"/>
            </c:ext>
          </c:extLst>
        </c:ser>
        <c:ser>
          <c:idx val="22"/>
          <c:order val="22"/>
          <c:tx>
            <c:strRef>
              <c:f>'Top 25 (Pop &gt;300K)'!$X$41</c:f>
              <c:strCache>
                <c:ptCount val="1"/>
                <c:pt idx="0">
                  <c:v>Shelby, TN</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&gt;300K)'!$X$42:$X$111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6-2A91-4641-B74A-9DD135941E2E}"/>
            </c:ext>
          </c:extLst>
        </c:ser>
        <c:ser>
          <c:idx val="23"/>
          <c:order val="23"/>
          <c:tx>
            <c:strRef>
              <c:f>'Top 25 (Pop &gt;300K)'!$Y$41</c:f>
              <c:strCache>
                <c:ptCount val="1"/>
                <c:pt idx="0">
                  <c:v>Escambia, FL</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&gt;300K)'!$Y$42:$Y$111</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7-2A91-4641-B74A-9DD135941E2E}"/>
            </c:ext>
          </c:extLst>
        </c:ser>
        <c:ser>
          <c:idx val="24"/>
          <c:order val="24"/>
          <c:tx>
            <c:strRef>
              <c:f>'Top 25 (Pop &gt;300K)'!$Z$41</c:f>
              <c:strCache>
                <c:ptCount val="1"/>
                <c:pt idx="0">
                  <c:v>Snohomish, WA</c:v>
                </c:pt>
              </c:strCache>
            </c:strRef>
          </c:tx>
          <c:spPr>
            <a:ln>
              <a:prstDash val="solid"/>
            </a:ln>
          </c:spPr>
          <c:marker>
            <c:symbol val="none"/>
          </c:marker>
          <c:cat>
            <c:strRef>
              <c:f>'Top 25 (Pop &gt;300K)'!$A$42:$A$111</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25 (Pop &gt;300K)'!$Z$42:$Z$111</c:f>
              <c:numCache>
                <c:formatCode>0.0</c:formatCode>
                <c:ptCount val="70"/>
                <c:pt idx="0">
                  <c:v>20.71</c:v>
                </c:pt>
                <c:pt idx="1">
                  <c:v>20.6</c:v>
                </c:pt>
                <c:pt idx="2">
                  <c:v>20.37</c:v>
                </c:pt>
                <c:pt idx="3">
                  <c:v>21.06</c:v>
                </c:pt>
                <c:pt idx="4">
                  <c:v>22.45</c:v>
                </c:pt>
                <c:pt idx="5">
                  <c:v>22.8</c:v>
                </c:pt>
                <c:pt idx="6">
                  <c:v>23.61</c:v>
                </c:pt>
                <c:pt idx="7">
                  <c:v>25.58</c:v>
                </c:pt>
                <c:pt idx="8">
                  <c:v>25.58</c:v>
                </c:pt>
                <c:pt idx="9">
                  <c:v>26.15</c:v>
                </c:pt>
                <c:pt idx="10">
                  <c:v>26.15</c:v>
                </c:pt>
                <c:pt idx="11">
                  <c:v>26.85</c:v>
                </c:pt>
                <c:pt idx="12">
                  <c:v>27.54</c:v>
                </c:pt>
                <c:pt idx="13">
                  <c:v>28.93</c:v>
                </c:pt>
                <c:pt idx="14">
                  <c:v>29.63</c:v>
                </c:pt>
                <c:pt idx="15">
                  <c:v>29.63</c:v>
                </c:pt>
                <c:pt idx="16">
                  <c:v>28.35</c:v>
                </c:pt>
                <c:pt idx="17">
                  <c:v>27.08</c:v>
                </c:pt>
                <c:pt idx="18">
                  <c:v>27.2</c:v>
                </c:pt>
                <c:pt idx="19">
                  <c:v>27.08</c:v>
                </c:pt>
                <c:pt idx="20">
                  <c:v>28.01</c:v>
                </c:pt>
                <c:pt idx="21">
                  <c:v>28.35</c:v>
                </c:pt>
                <c:pt idx="22">
                  <c:v>28.7</c:v>
                </c:pt>
                <c:pt idx="23">
                  <c:v>27.43</c:v>
                </c:pt>
                <c:pt idx="24">
                  <c:v>27.54</c:v>
                </c:pt>
                <c:pt idx="25">
                  <c:v>26.96</c:v>
                </c:pt>
                <c:pt idx="26">
                  <c:v>26.62</c:v>
                </c:pt>
                <c:pt idx="27">
                  <c:v>25.81</c:v>
                </c:pt>
                <c:pt idx="28">
                  <c:v>27.08</c:v>
                </c:pt>
                <c:pt idx="29">
                  <c:v>27.77</c:v>
                </c:pt>
                <c:pt idx="30">
                  <c:v>27.43</c:v>
                </c:pt>
                <c:pt idx="31">
                  <c:v>27.89</c:v>
                </c:pt>
                <c:pt idx="32">
                  <c:v>28.7</c:v>
                </c:pt>
                <c:pt idx="33">
                  <c:v>28.82</c:v>
                </c:pt>
                <c:pt idx="34">
                  <c:v>29.63</c:v>
                </c:pt>
                <c:pt idx="35">
                  <c:v>31.01</c:v>
                </c:pt>
                <c:pt idx="36">
                  <c:v>32.520000000000003</c:v>
                </c:pt>
                <c:pt idx="37">
                  <c:v>33.44</c:v>
                </c:pt>
                <c:pt idx="38">
                  <c:v>33.21</c:v>
                </c:pt>
                <c:pt idx="39">
                  <c:v>35.53</c:v>
                </c:pt>
                <c:pt idx="40">
                  <c:v>36.57</c:v>
                </c:pt>
                <c:pt idx="41">
                  <c:v>35.99</c:v>
                </c:pt>
                <c:pt idx="42">
                  <c:v>37.96</c:v>
                </c:pt>
                <c:pt idx="43">
                  <c:v>38.19</c:v>
                </c:pt>
                <c:pt idx="44">
                  <c:v>37.5</c:v>
                </c:pt>
                <c:pt idx="45">
                  <c:v>37.729999999999997</c:v>
                </c:pt>
                <c:pt idx="46">
                  <c:v>37.03</c:v>
                </c:pt>
                <c:pt idx="47">
                  <c:v>36.340000000000003</c:v>
                </c:pt>
                <c:pt idx="48">
                  <c:v>35.06</c:v>
                </c:pt>
                <c:pt idx="49">
                  <c:v>37.03</c:v>
                </c:pt>
                <c:pt idx="50">
                  <c:v>37.26</c:v>
                </c:pt>
                <c:pt idx="51">
                  <c:v>37.380000000000003</c:v>
                </c:pt>
                <c:pt idx="52">
                  <c:v>36.69</c:v>
                </c:pt>
                <c:pt idx="53">
                  <c:v>38.42</c:v>
                </c:pt>
                <c:pt idx="54">
                  <c:v>37.5</c:v>
                </c:pt>
                <c:pt idx="55">
                  <c:v>35.64</c:v>
                </c:pt>
                <c:pt idx="56">
                  <c:v>34.83</c:v>
                </c:pt>
                <c:pt idx="57">
                  <c:v>34.14</c:v>
                </c:pt>
                <c:pt idx="58">
                  <c:v>34.72</c:v>
                </c:pt>
                <c:pt idx="59">
                  <c:v>34.25</c:v>
                </c:pt>
                <c:pt idx="60">
                  <c:v>36.22</c:v>
                </c:pt>
                <c:pt idx="61">
                  <c:v>34.369999999999997</c:v>
                </c:pt>
                <c:pt idx="62">
                  <c:v>34.950000000000003</c:v>
                </c:pt>
                <c:pt idx="63">
                  <c:v>34.49</c:v>
                </c:pt>
                <c:pt idx="64">
                  <c:v>33.909999999999997</c:v>
                </c:pt>
                <c:pt idx="65">
                  <c:v>32.869999999999997</c:v>
                </c:pt>
                <c:pt idx="66">
                  <c:v>33.33</c:v>
                </c:pt>
                <c:pt idx="67">
                  <c:v>33.68</c:v>
                </c:pt>
                <c:pt idx="68">
                  <c:v>34.020000000000003</c:v>
                </c:pt>
                <c:pt idx="69">
                  <c:v>#N/A</c:v>
                </c:pt>
              </c:numCache>
            </c:numRef>
          </c:val>
          <c:smooth val="1"/>
          <c:extLst>
            <c:ext xmlns:c16="http://schemas.microsoft.com/office/drawing/2014/chart" uri="{C3380CC4-5D6E-409C-BE32-E72D297353CC}">
              <c16:uniqueId val="{00000018-2A91-4641-B74A-9DD135941E2E}"/>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rPr lang="en-US"/>
                  <a:t>12-month 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rPr lang="en-US"/>
                  <a:t>Overdose deaths per 100,000 (12-mo trailing)</a:t>
                </a:r>
              </a:p>
            </c:rich>
          </c:tx>
          <c:overlay val="1"/>
        </c:title>
        <c:numFmt formatCode="0.0" sourceLinked="1"/>
        <c:majorTickMark val="none"/>
        <c:minorTickMark val="none"/>
        <c:tickLblPos val="nextTo"/>
        <c:crossAx val="10"/>
        <c:crosses val="autoZero"/>
        <c:crossBetween val="between"/>
      </c:valAx>
    </c:plotArea>
    <c:legend>
      <c:legendPos val="r"/>
      <c:overlay val="1"/>
    </c:legend>
    <c:plotVisOnly val="1"/>
    <c:dispBlanksAs val="gap"/>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rPr lang="en-US"/>
              <a:t>Top 50 U.S. Counties &amp; County-Equivalents (Pop &gt;100K) by Overdose Death Rate</a:t>
            </a:r>
          </a:p>
        </c:rich>
      </c:tx>
      <c:overlay val="1"/>
    </c:title>
    <c:autoTitleDeleted val="0"/>
    <c:plotArea>
      <c:layout/>
      <c:barChart>
        <c:barDir val="bar"/>
        <c:grouping val="clustered"/>
        <c:varyColors val="1"/>
        <c:ser>
          <c:idx val="0"/>
          <c:order val="0"/>
          <c:tx>
            <c:strRef>
              <c:f>'Top 50 (Pop &gt;100K)'!$F$5</c:f>
              <c:strCache>
                <c:ptCount val="1"/>
                <c:pt idx="0">
                  <c:v>Rate per 100,000</c:v>
                </c:pt>
              </c:strCache>
            </c:strRef>
          </c:tx>
          <c:spPr>
            <a:ln>
              <a:prstDash val="solid"/>
            </a:ln>
          </c:spPr>
          <c:invertIfNegative val="1"/>
          <c:dLbls>
            <c:spPr>
              <a:noFill/>
              <a:ln>
                <a:noFill/>
                <a:prstDash val="solid"/>
              </a:ln>
            </c:spPr>
            <c:showLegendKey val="1"/>
            <c:showVal val="1"/>
            <c:showCatName val="1"/>
            <c:showSerName val="1"/>
            <c:showPercent val="1"/>
            <c:showBubbleSize val="1"/>
            <c:showLeaderLines val="0"/>
            <c:extLst>
              <c:ext xmlns:c15="http://schemas.microsoft.com/office/drawing/2012/chart" uri="{CE6537A1-D6FC-4f65-9D91-7224C49458BB}">
                <c15:showLeaderLines val="0"/>
              </c:ext>
            </c:extLst>
          </c:dLbls>
          <c:cat>
            <c:strRef>
              <c:f>'Top 50 (Pop &gt;100K)'!$B$6:$B$55</c:f>
              <c:strCache>
                <c:ptCount val="50"/>
                <c:pt idx="0">
                  <c:v>Baltimore city</c:v>
                </c:pt>
                <c:pt idx="1">
                  <c:v>Santa Fe County</c:v>
                </c:pt>
                <c:pt idx="2">
                  <c:v>St. Louis city</c:v>
                </c:pt>
                <c:pt idx="3">
                  <c:v>Anchorage Municipality</c:v>
                </c:pt>
                <c:pt idx="4">
                  <c:v>Butte County</c:v>
                </c:pt>
                <c:pt idx="5">
                  <c:v>Spokane County</c:v>
                </c:pt>
                <c:pt idx="6">
                  <c:v>San Francisco County</c:v>
                </c:pt>
                <c:pt idx="7">
                  <c:v>El Paso County</c:v>
                </c:pt>
                <c:pt idx="8">
                  <c:v>Philadelphia County</c:v>
                </c:pt>
                <c:pt idx="9">
                  <c:v>Multnomah County</c:v>
                </c:pt>
                <c:pt idx="10">
                  <c:v>Denver County</c:v>
                </c:pt>
                <c:pt idx="11">
                  <c:v>Orleans Parish</c:v>
                </c:pt>
                <c:pt idx="12">
                  <c:v>Humboldt County</c:v>
                </c:pt>
                <c:pt idx="13">
                  <c:v>Yakima County</c:v>
                </c:pt>
                <c:pt idx="14">
                  <c:v>Mohave County</c:v>
                </c:pt>
                <c:pt idx="15">
                  <c:v>Cecil County</c:v>
                </c:pt>
                <c:pt idx="16">
                  <c:v>Pierce County</c:v>
                </c:pt>
                <c:pt idx="17">
                  <c:v>Knox County</c:v>
                </c:pt>
                <c:pt idx="18">
                  <c:v>Bernalillo County</c:v>
                </c:pt>
                <c:pt idx="19">
                  <c:v>Kanawha County</c:v>
                </c:pt>
                <c:pt idx="20">
                  <c:v>Cowlitz County</c:v>
                </c:pt>
                <c:pt idx="21">
                  <c:v>Davidson County</c:v>
                </c:pt>
                <c:pt idx="22">
                  <c:v>Bronx County</c:v>
                </c:pt>
                <c:pt idx="23">
                  <c:v>Pueblo County</c:v>
                </c:pt>
                <c:pt idx="24">
                  <c:v>Atlantic County</c:v>
                </c:pt>
                <c:pt idx="25">
                  <c:v>Jackson County</c:v>
                </c:pt>
                <c:pt idx="26">
                  <c:v>King County</c:v>
                </c:pt>
                <c:pt idx="27">
                  <c:v>Marion County</c:v>
                </c:pt>
                <c:pt idx="28">
                  <c:v>Terrebonne Parish</c:v>
                </c:pt>
                <c:pt idx="29">
                  <c:v>District of Columbia</c:v>
                </c:pt>
                <c:pt idx="30">
                  <c:v>Navajo County</c:v>
                </c:pt>
                <c:pt idx="31">
                  <c:v>Madison County</c:v>
                </c:pt>
                <c:pt idx="32">
                  <c:v>Sangamon County</c:v>
                </c:pt>
                <c:pt idx="33">
                  <c:v>Skagit County</c:v>
                </c:pt>
                <c:pt idx="34">
                  <c:v>Richmond city</c:v>
                </c:pt>
                <c:pt idx="35">
                  <c:v>Milwaukee County</c:v>
                </c:pt>
                <c:pt idx="36">
                  <c:v>Thurston County</c:v>
                </c:pt>
                <c:pt idx="37">
                  <c:v>Coconino County</c:v>
                </c:pt>
                <c:pt idx="38">
                  <c:v>Jefferson County</c:v>
                </c:pt>
                <c:pt idx="39">
                  <c:v>Pima County</c:v>
                </c:pt>
                <c:pt idx="40">
                  <c:v>Kent County</c:v>
                </c:pt>
                <c:pt idx="41">
                  <c:v>Washoe County</c:v>
                </c:pt>
                <c:pt idx="42">
                  <c:v>Shawnee County</c:v>
                </c:pt>
                <c:pt idx="43">
                  <c:v>New Castle County</c:v>
                </c:pt>
                <c:pt idx="44">
                  <c:v>Shelby County</c:v>
                </c:pt>
                <c:pt idx="45">
                  <c:v>Grant County</c:v>
                </c:pt>
                <c:pt idx="46">
                  <c:v>Whatcom County</c:v>
                </c:pt>
                <c:pt idx="47">
                  <c:v>Sevier County</c:v>
                </c:pt>
                <c:pt idx="48">
                  <c:v>Matanuska-Susitna Borough</c:v>
                </c:pt>
                <c:pt idx="49">
                  <c:v>Escambia County</c:v>
                </c:pt>
              </c:strCache>
            </c:strRef>
          </c:cat>
          <c:val>
            <c:numRef>
              <c:f>'Top 50 (Pop &gt;100K)'!$F$6:$F$55</c:f>
              <c:numCache>
                <c:formatCode>0.0</c:formatCode>
                <c:ptCount val="50"/>
                <c:pt idx="0">
                  <c:v>87.634244928915962</c:v>
                </c:pt>
                <c:pt idx="1">
                  <c:v>65.920831616645017</c:v>
                </c:pt>
                <c:pt idx="2">
                  <c:v>64.355816156885169</c:v>
                </c:pt>
                <c:pt idx="3">
                  <c:v>63.535911602209943</c:v>
                </c:pt>
                <c:pt idx="4">
                  <c:v>60.959804928624237</c:v>
                </c:pt>
                <c:pt idx="5">
                  <c:v>57.919190138628331</c:v>
                </c:pt>
                <c:pt idx="6">
                  <c:v>57.15832493480567</c:v>
                </c:pt>
                <c:pt idx="7">
                  <c:v>55.395259122284038</c:v>
                </c:pt>
                <c:pt idx="8">
                  <c:v>55.27613926029089</c:v>
                </c:pt>
                <c:pt idx="9">
                  <c:v>53.147580654280638</c:v>
                </c:pt>
                <c:pt idx="10">
                  <c:v>50.753135377815944</c:v>
                </c:pt>
                <c:pt idx="11">
                  <c:v>48.52481796300534</c:v>
                </c:pt>
                <c:pt idx="12">
                  <c:v>47.590270433600246</c:v>
                </c:pt>
                <c:pt idx="13">
                  <c:v>47.577971785875917</c:v>
                </c:pt>
                <c:pt idx="14">
                  <c:v>47.244998432525755</c:v>
                </c:pt>
                <c:pt idx="15">
                  <c:v>47.034476271106719</c:v>
                </c:pt>
                <c:pt idx="16">
                  <c:v>46.219067756090823</c:v>
                </c:pt>
                <c:pt idx="17">
                  <c:v>45.979461191756059</c:v>
                </c:pt>
                <c:pt idx="18">
                  <c:v>45.850595536712483</c:v>
                </c:pt>
                <c:pt idx="19">
                  <c:v>44.851816498568191</c:v>
                </c:pt>
                <c:pt idx="20">
                  <c:v>42.989243915705984</c:v>
                </c:pt>
                <c:pt idx="21">
                  <c:v>42.220409729885333</c:v>
                </c:pt>
                <c:pt idx="22">
                  <c:v>42.030036310484974</c:v>
                </c:pt>
                <c:pt idx="23">
                  <c:v>41.208952939375742</c:v>
                </c:pt>
                <c:pt idx="24">
                  <c:v>39.768696661579135</c:v>
                </c:pt>
                <c:pt idx="25">
                  <c:v>39.455245506863854</c:v>
                </c:pt>
                <c:pt idx="26">
                  <c:v>39.355425643243279</c:v>
                </c:pt>
                <c:pt idx="27">
                  <c:v>39.220560130721616</c:v>
                </c:pt>
                <c:pt idx="28">
                  <c:v>38.511900177154736</c:v>
                </c:pt>
                <c:pt idx="29">
                  <c:v>38.447846208615168</c:v>
                </c:pt>
                <c:pt idx="30">
                  <c:v>38.350560648672335</c:v>
                </c:pt>
                <c:pt idx="31">
                  <c:v>37.996751650251078</c:v>
                </c:pt>
                <c:pt idx="32">
                  <c:v>37.562067457356761</c:v>
                </c:pt>
                <c:pt idx="33">
                  <c:v>36.915380906460946</c:v>
                </c:pt>
                <c:pt idx="34">
                  <c:v>36.806402602127065</c:v>
                </c:pt>
                <c:pt idx="35">
                  <c:v>36.767091290524903</c:v>
                </c:pt>
                <c:pt idx="36">
                  <c:v>36.644305937037821</c:v>
                </c:pt>
                <c:pt idx="37">
                  <c:v>36.511184133479375</c:v>
                </c:pt>
                <c:pt idx="38">
                  <c:v>36.025550428842607</c:v>
                </c:pt>
                <c:pt idx="39">
                  <c:v>36.013549982456119</c:v>
                </c:pt>
                <c:pt idx="40">
                  <c:v>35.808812081581813</c:v>
                </c:pt>
                <c:pt idx="41">
                  <c:v>35.483362245702565</c:v>
                </c:pt>
                <c:pt idx="42">
                  <c:v>35.404794820784296</c:v>
                </c:pt>
                <c:pt idx="43">
                  <c:v>35.368555653612603</c:v>
                </c:pt>
                <c:pt idx="44">
                  <c:v>35.364018758305605</c:v>
                </c:pt>
                <c:pt idx="45">
                  <c:v>35.333326966968109</c:v>
                </c:pt>
                <c:pt idx="46">
                  <c:v>35.326063825259411</c:v>
                </c:pt>
                <c:pt idx="47">
                  <c:v>34.935718278367801</c:v>
                </c:pt>
                <c:pt idx="48">
                  <c:v>34.860091996633024</c:v>
                </c:pt>
                <c:pt idx="49">
                  <c:v>34.412497170024906</c:v>
                </c:pt>
              </c:numCache>
            </c:numRef>
          </c:val>
          <c:extLst>
            <c:ext xmlns:c16="http://schemas.microsoft.com/office/drawing/2014/chart" uri="{C3380CC4-5D6E-409C-BE32-E72D297353CC}">
              <c16:uniqueId val="{00000000-21E1-42D6-BBCC-889888B34486}"/>
            </c:ext>
          </c:extLst>
        </c:ser>
        <c:dLbls>
          <c:showLegendKey val="1"/>
          <c:showVal val="1"/>
          <c:showCatName val="1"/>
          <c:showSerName val="1"/>
          <c:showPercent val="1"/>
          <c:showBubbleSize val="1"/>
        </c:dLbls>
        <c:gapWidth val="150"/>
        <c:axId val="10"/>
        <c:axId val="100"/>
      </c:barChart>
      <c:catAx>
        <c:axId val="10"/>
        <c:scaling>
          <c:orientation val="minMax"/>
        </c:scaling>
        <c:delete val="1"/>
        <c:axPos val="l"/>
        <c:title>
          <c:tx>
            <c:rich>
              <a:bodyPr/>
              <a:lstStyle/>
              <a:p>
                <a:pPr>
                  <a:defRPr/>
                </a:pPr>
                <a:r>
                  <a:rPr lang="en-US"/>
                  <a:t>Rate per 100,000</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b"/>
        <c:majorGridlines/>
        <c:numFmt formatCode="0.0" sourceLinked="1"/>
        <c:majorTickMark val="none"/>
        <c:minorTickMark val="none"/>
        <c:tickLblPos val="nextTo"/>
        <c:crossAx val="10"/>
        <c:crosses val="autoZero"/>
        <c:crossBetween val="between"/>
      </c:valAx>
    </c:plotArea>
    <c:plotVisOnly val="1"/>
    <c:dispBlanksAs val="gap"/>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t>12-Month-Ending Overdose Rate per 100,000 — Top 50 (Pop &gt;100K)</a:t>
            </a:r>
          </a:p>
        </c:rich>
      </c:tx>
      <c:overlay val="1"/>
    </c:title>
    <c:autoTitleDeleted val="0"/>
    <c:plotArea>
      <c:layout/>
      <c:lineChart>
        <c:grouping val="standard"/>
        <c:varyColors val="1"/>
        <c:ser>
          <c:idx val="0"/>
          <c:order val="0"/>
          <c:tx>
            <c:strRef>
              <c:f>'Top 50 (Pop &gt;100K)'!$B$65</c:f>
              <c:strCache>
                <c:ptCount val="1"/>
                <c:pt idx="0">
                  <c:v>Baltimore (city), MD</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&gt;100K)'!$B$66:$B$135</c:f>
              <c:numCache>
                <c:formatCode>0.0</c:formatCode>
                <c:ptCount val="70"/>
                <c:pt idx="0">
                  <c:v>120.19</c:v>
                </c:pt>
                <c:pt idx="1">
                  <c:v>117.9</c:v>
                </c:pt>
                <c:pt idx="2">
                  <c:v>117.9</c:v>
                </c:pt>
                <c:pt idx="3">
                  <c:v>117.2</c:v>
                </c:pt>
                <c:pt idx="4">
                  <c:v>121.24</c:v>
                </c:pt>
                <c:pt idx="5">
                  <c:v>124.06</c:v>
                </c:pt>
                <c:pt idx="6">
                  <c:v>126.7</c:v>
                </c:pt>
                <c:pt idx="7">
                  <c:v>131.44999999999999</c:v>
                </c:pt>
                <c:pt idx="8">
                  <c:v>137.08000000000001</c:v>
                </c:pt>
                <c:pt idx="9">
                  <c:v>142.88999999999999</c:v>
                </c:pt>
                <c:pt idx="10">
                  <c:v>143.41999999999999</c:v>
                </c:pt>
                <c:pt idx="11">
                  <c:v>146.41</c:v>
                </c:pt>
                <c:pt idx="12">
                  <c:v>150.46</c:v>
                </c:pt>
                <c:pt idx="13">
                  <c:v>153.80000000000001</c:v>
                </c:pt>
                <c:pt idx="14">
                  <c:v>152.74</c:v>
                </c:pt>
                <c:pt idx="15">
                  <c:v>156.26</c:v>
                </c:pt>
                <c:pt idx="16">
                  <c:v>158.55000000000001</c:v>
                </c:pt>
                <c:pt idx="17">
                  <c:v>163.30000000000001</c:v>
                </c:pt>
                <c:pt idx="18">
                  <c:v>165.77</c:v>
                </c:pt>
                <c:pt idx="19">
                  <c:v>162.41999999999999</c:v>
                </c:pt>
                <c:pt idx="20">
                  <c:v>159.96</c:v>
                </c:pt>
                <c:pt idx="21">
                  <c:v>155.56</c:v>
                </c:pt>
                <c:pt idx="22">
                  <c:v>153.80000000000001</c:v>
                </c:pt>
                <c:pt idx="23">
                  <c:v>154.33000000000001</c:v>
                </c:pt>
                <c:pt idx="24">
                  <c:v>152.04</c:v>
                </c:pt>
                <c:pt idx="25">
                  <c:v>150.28</c:v>
                </c:pt>
                <c:pt idx="26">
                  <c:v>151.34</c:v>
                </c:pt>
                <c:pt idx="27">
                  <c:v>147.29</c:v>
                </c:pt>
                <c:pt idx="28">
                  <c:v>144.30000000000001</c:v>
                </c:pt>
                <c:pt idx="29">
                  <c:v>138.84</c:v>
                </c:pt>
                <c:pt idx="30">
                  <c:v>134.97</c:v>
                </c:pt>
                <c:pt idx="31">
                  <c:v>135.66999999999999</c:v>
                </c:pt>
                <c:pt idx="32">
                  <c:v>132.86000000000001</c:v>
                </c:pt>
                <c:pt idx="33">
                  <c:v>133.21</c:v>
                </c:pt>
                <c:pt idx="34">
                  <c:v>138.13999999999999</c:v>
                </c:pt>
                <c:pt idx="35">
                  <c:v>138.49</c:v>
                </c:pt>
                <c:pt idx="36">
                  <c:v>136.38</c:v>
                </c:pt>
                <c:pt idx="37">
                  <c:v>136.72999999999999</c:v>
                </c:pt>
                <c:pt idx="38">
                  <c:v>136.38</c:v>
                </c:pt>
                <c:pt idx="39">
                  <c:v>140.43</c:v>
                </c:pt>
                <c:pt idx="40">
                  <c:v>142.36000000000001</c:v>
                </c:pt>
                <c:pt idx="41">
                  <c:v>144.47</c:v>
                </c:pt>
                <c:pt idx="42">
                  <c:v>147.99</c:v>
                </c:pt>
                <c:pt idx="43">
                  <c:v>145.71</c:v>
                </c:pt>
                <c:pt idx="44">
                  <c:v>147.99</c:v>
                </c:pt>
                <c:pt idx="45">
                  <c:v>151.86000000000001</c:v>
                </c:pt>
                <c:pt idx="46">
                  <c:v>149.22</c:v>
                </c:pt>
                <c:pt idx="47">
                  <c:v>148.87</c:v>
                </c:pt>
                <c:pt idx="48">
                  <c:v>150.97999999999999</c:v>
                </c:pt>
                <c:pt idx="49">
                  <c:v>150.46</c:v>
                </c:pt>
                <c:pt idx="50">
                  <c:v>146.58000000000001</c:v>
                </c:pt>
                <c:pt idx="51">
                  <c:v>143.77000000000001</c:v>
                </c:pt>
                <c:pt idx="52">
                  <c:v>138.66999999999999</c:v>
                </c:pt>
                <c:pt idx="53">
                  <c:v>135.66999999999999</c:v>
                </c:pt>
                <c:pt idx="54">
                  <c:v>132.51</c:v>
                </c:pt>
                <c:pt idx="55">
                  <c:v>131.97999999999999</c:v>
                </c:pt>
                <c:pt idx="56">
                  <c:v>129.69</c:v>
                </c:pt>
                <c:pt idx="57">
                  <c:v>121.77</c:v>
                </c:pt>
                <c:pt idx="58">
                  <c:v>116.32</c:v>
                </c:pt>
                <c:pt idx="59">
                  <c:v>111.74</c:v>
                </c:pt>
                <c:pt idx="60">
                  <c:v>109.45</c:v>
                </c:pt>
                <c:pt idx="61">
                  <c:v>105.58</c:v>
                </c:pt>
                <c:pt idx="62">
                  <c:v>106.64</c:v>
                </c:pt>
                <c:pt idx="63">
                  <c:v>101.54</c:v>
                </c:pt>
                <c:pt idx="64">
                  <c:v>99.25</c:v>
                </c:pt>
                <c:pt idx="65">
                  <c:v>93.27</c:v>
                </c:pt>
                <c:pt idx="66">
                  <c:v>89.75</c:v>
                </c:pt>
                <c:pt idx="67">
                  <c:v>88.16</c:v>
                </c:pt>
                <c:pt idx="68">
                  <c:v>87.63</c:v>
                </c:pt>
                <c:pt idx="69">
                  <c:v>#N/A</c:v>
                </c:pt>
              </c:numCache>
            </c:numRef>
          </c:val>
          <c:smooth val="1"/>
          <c:extLst>
            <c:ext xmlns:c16="http://schemas.microsoft.com/office/drawing/2014/chart" uri="{C3380CC4-5D6E-409C-BE32-E72D297353CC}">
              <c16:uniqueId val="{00000000-0259-49C7-B09C-49CD6FAA54ED}"/>
            </c:ext>
          </c:extLst>
        </c:ser>
        <c:ser>
          <c:idx val="1"/>
          <c:order val="1"/>
          <c:tx>
            <c:strRef>
              <c:f>'Top 50 (Pop &gt;100K)'!$C$65</c:f>
              <c:strCache>
                <c:ptCount val="1"/>
                <c:pt idx="0">
                  <c:v>Santa Fe, NM</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&gt;100K)'!$C$66:$C$135</c:f>
              <c:numCache>
                <c:formatCode>0.0</c:formatCode>
                <c:ptCount val="70"/>
                <c:pt idx="0">
                  <c:v>32.96</c:v>
                </c:pt>
                <c:pt idx="1">
                  <c:v>33.590000000000003</c:v>
                </c:pt>
                <c:pt idx="2">
                  <c:v>36.130000000000003</c:v>
                </c:pt>
                <c:pt idx="3">
                  <c:v>36.130000000000003</c:v>
                </c:pt>
                <c:pt idx="4">
                  <c:v>36.130000000000003</c:v>
                </c:pt>
                <c:pt idx="5">
                  <c:v>38.67</c:v>
                </c:pt>
                <c:pt idx="6">
                  <c:v>38.67</c:v>
                </c:pt>
                <c:pt idx="7">
                  <c:v>37.4</c:v>
                </c:pt>
                <c:pt idx="8">
                  <c:v>36.76</c:v>
                </c:pt>
                <c:pt idx="9">
                  <c:v>38.67</c:v>
                </c:pt>
                <c:pt idx="10">
                  <c:v>38.67</c:v>
                </c:pt>
                <c:pt idx="11">
                  <c:v>36.130000000000003</c:v>
                </c:pt>
                <c:pt idx="12">
                  <c:v>38.03</c:v>
                </c:pt>
                <c:pt idx="13">
                  <c:v>39.93</c:v>
                </c:pt>
                <c:pt idx="14">
                  <c:v>38.03</c:v>
                </c:pt>
                <c:pt idx="15">
                  <c:v>42.47</c:v>
                </c:pt>
                <c:pt idx="16">
                  <c:v>42.47</c:v>
                </c:pt>
                <c:pt idx="17">
                  <c:v>41.2</c:v>
                </c:pt>
                <c:pt idx="18">
                  <c:v>43.1</c:v>
                </c:pt>
                <c:pt idx="19">
                  <c:v>46.27</c:v>
                </c:pt>
                <c:pt idx="20">
                  <c:v>46.27</c:v>
                </c:pt>
                <c:pt idx="21">
                  <c:v>47.54</c:v>
                </c:pt>
                <c:pt idx="22">
                  <c:v>49.44</c:v>
                </c:pt>
                <c:pt idx="23">
                  <c:v>51.98</c:v>
                </c:pt>
                <c:pt idx="24">
                  <c:v>51.34</c:v>
                </c:pt>
                <c:pt idx="25">
                  <c:v>51.98</c:v>
                </c:pt>
                <c:pt idx="26">
                  <c:v>51.98</c:v>
                </c:pt>
                <c:pt idx="27">
                  <c:v>48.81</c:v>
                </c:pt>
                <c:pt idx="28">
                  <c:v>46.91</c:v>
                </c:pt>
                <c:pt idx="29">
                  <c:v>48.17</c:v>
                </c:pt>
                <c:pt idx="30">
                  <c:v>46.27</c:v>
                </c:pt>
                <c:pt idx="31">
                  <c:v>48.17</c:v>
                </c:pt>
                <c:pt idx="32">
                  <c:v>51.98</c:v>
                </c:pt>
                <c:pt idx="33">
                  <c:v>50.71</c:v>
                </c:pt>
                <c:pt idx="34">
                  <c:v>50.71</c:v>
                </c:pt>
                <c:pt idx="35">
                  <c:v>48.17</c:v>
                </c:pt>
                <c:pt idx="36">
                  <c:v>51.98</c:v>
                </c:pt>
                <c:pt idx="37">
                  <c:v>48.81</c:v>
                </c:pt>
                <c:pt idx="38">
                  <c:v>50.71</c:v>
                </c:pt>
                <c:pt idx="39">
                  <c:v>50.71</c:v>
                </c:pt>
                <c:pt idx="40">
                  <c:v>54.51</c:v>
                </c:pt>
                <c:pt idx="41">
                  <c:v>55.15</c:v>
                </c:pt>
                <c:pt idx="42">
                  <c:v>55.15</c:v>
                </c:pt>
                <c:pt idx="43">
                  <c:v>52.61</c:v>
                </c:pt>
                <c:pt idx="44">
                  <c:v>50.07</c:v>
                </c:pt>
                <c:pt idx="45">
                  <c:v>51.34</c:v>
                </c:pt>
                <c:pt idx="46">
                  <c:v>50.71</c:v>
                </c:pt>
                <c:pt idx="47">
                  <c:v>54.51</c:v>
                </c:pt>
                <c:pt idx="48">
                  <c:v>50.07</c:v>
                </c:pt>
                <c:pt idx="49">
                  <c:v>49.44</c:v>
                </c:pt>
                <c:pt idx="50">
                  <c:v>48.17</c:v>
                </c:pt>
                <c:pt idx="51">
                  <c:v>46.91</c:v>
                </c:pt>
                <c:pt idx="52">
                  <c:v>45</c:v>
                </c:pt>
                <c:pt idx="53">
                  <c:v>41.83</c:v>
                </c:pt>
                <c:pt idx="54">
                  <c:v>39.93</c:v>
                </c:pt>
                <c:pt idx="55">
                  <c:v>43.1</c:v>
                </c:pt>
                <c:pt idx="56">
                  <c:v>43.1</c:v>
                </c:pt>
                <c:pt idx="57">
                  <c:v>41.2</c:v>
                </c:pt>
                <c:pt idx="58">
                  <c:v>39.299999999999997</c:v>
                </c:pt>
                <c:pt idx="59">
                  <c:v>39.93</c:v>
                </c:pt>
                <c:pt idx="60">
                  <c:v>43.74</c:v>
                </c:pt>
                <c:pt idx="61">
                  <c:v>48.17</c:v>
                </c:pt>
                <c:pt idx="62">
                  <c:v>51.34</c:v>
                </c:pt>
                <c:pt idx="63">
                  <c:v>57.68</c:v>
                </c:pt>
                <c:pt idx="64">
                  <c:v>59.58</c:v>
                </c:pt>
                <c:pt idx="65">
                  <c:v>63.39</c:v>
                </c:pt>
                <c:pt idx="66">
                  <c:v>67.19</c:v>
                </c:pt>
                <c:pt idx="67">
                  <c:v>62.12</c:v>
                </c:pt>
                <c:pt idx="68">
                  <c:v>65.92</c:v>
                </c:pt>
                <c:pt idx="69">
                  <c:v>#N/A</c:v>
                </c:pt>
              </c:numCache>
            </c:numRef>
          </c:val>
          <c:smooth val="1"/>
          <c:extLst>
            <c:ext xmlns:c16="http://schemas.microsoft.com/office/drawing/2014/chart" uri="{C3380CC4-5D6E-409C-BE32-E72D297353CC}">
              <c16:uniqueId val="{00000001-0259-49C7-B09C-49CD6FAA54ED}"/>
            </c:ext>
          </c:extLst>
        </c:ser>
        <c:ser>
          <c:idx val="2"/>
          <c:order val="2"/>
          <c:tx>
            <c:strRef>
              <c:f>'Top 50 (Pop &gt;100K)'!$D$65</c:f>
              <c:strCache>
                <c:ptCount val="1"/>
                <c:pt idx="0">
                  <c:v>St. Louis (city), MO</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&gt;100K)'!$D$66:$D$135</c:f>
              <c:numCache>
                <c:formatCode>0.0</c:formatCode>
                <c:ptCount val="70"/>
                <c:pt idx="0">
                  <c:v>88.67</c:v>
                </c:pt>
                <c:pt idx="1">
                  <c:v>89.03</c:v>
                </c:pt>
                <c:pt idx="2">
                  <c:v>93.67</c:v>
                </c:pt>
                <c:pt idx="3">
                  <c:v>97.25</c:v>
                </c:pt>
                <c:pt idx="4">
                  <c:v>104.4</c:v>
                </c:pt>
                <c:pt idx="5">
                  <c:v>107.62</c:v>
                </c:pt>
                <c:pt idx="6">
                  <c:v>108.33</c:v>
                </c:pt>
                <c:pt idx="7">
                  <c:v>105.83</c:v>
                </c:pt>
                <c:pt idx="8">
                  <c:v>102.97</c:v>
                </c:pt>
                <c:pt idx="9">
                  <c:v>105.47</c:v>
                </c:pt>
                <c:pt idx="10">
                  <c:v>107.97</c:v>
                </c:pt>
                <c:pt idx="11">
                  <c:v>106.54</c:v>
                </c:pt>
                <c:pt idx="12">
                  <c:v>104.76</c:v>
                </c:pt>
                <c:pt idx="13">
                  <c:v>105.47</c:v>
                </c:pt>
                <c:pt idx="14">
                  <c:v>102.97</c:v>
                </c:pt>
                <c:pt idx="15">
                  <c:v>101.9</c:v>
                </c:pt>
                <c:pt idx="16">
                  <c:v>102.97</c:v>
                </c:pt>
                <c:pt idx="17">
                  <c:v>104.76</c:v>
                </c:pt>
                <c:pt idx="18">
                  <c:v>104.04</c:v>
                </c:pt>
                <c:pt idx="19">
                  <c:v>104.76</c:v>
                </c:pt>
                <c:pt idx="20">
                  <c:v>106.54</c:v>
                </c:pt>
                <c:pt idx="21">
                  <c:v>104.04</c:v>
                </c:pt>
                <c:pt idx="22">
                  <c:v>102.61</c:v>
                </c:pt>
                <c:pt idx="23">
                  <c:v>101.54</c:v>
                </c:pt>
                <c:pt idx="24">
                  <c:v>104.04</c:v>
                </c:pt>
                <c:pt idx="25">
                  <c:v>104.04</c:v>
                </c:pt>
                <c:pt idx="26">
                  <c:v>107.26</c:v>
                </c:pt>
                <c:pt idx="27">
                  <c:v>104.04</c:v>
                </c:pt>
                <c:pt idx="28">
                  <c:v>100.11</c:v>
                </c:pt>
                <c:pt idx="29">
                  <c:v>99.75</c:v>
                </c:pt>
                <c:pt idx="30">
                  <c:v>103.33</c:v>
                </c:pt>
                <c:pt idx="31">
                  <c:v>105.83</c:v>
                </c:pt>
                <c:pt idx="32">
                  <c:v>110.12</c:v>
                </c:pt>
                <c:pt idx="33">
                  <c:v>111.19</c:v>
                </c:pt>
                <c:pt idx="34">
                  <c:v>110.84</c:v>
                </c:pt>
                <c:pt idx="35">
                  <c:v>111.19</c:v>
                </c:pt>
                <c:pt idx="36">
                  <c:v>113.34</c:v>
                </c:pt>
                <c:pt idx="37">
                  <c:v>116.56</c:v>
                </c:pt>
                <c:pt idx="38">
                  <c:v>118.34</c:v>
                </c:pt>
                <c:pt idx="39">
                  <c:v>120.13</c:v>
                </c:pt>
                <c:pt idx="40">
                  <c:v>121.56</c:v>
                </c:pt>
                <c:pt idx="41">
                  <c:v>122.28</c:v>
                </c:pt>
                <c:pt idx="42">
                  <c:v>116.2</c:v>
                </c:pt>
                <c:pt idx="43">
                  <c:v>115.13</c:v>
                </c:pt>
                <c:pt idx="44">
                  <c:v>113.34</c:v>
                </c:pt>
                <c:pt idx="45">
                  <c:v>110.84</c:v>
                </c:pt>
                <c:pt idx="46">
                  <c:v>110.12</c:v>
                </c:pt>
                <c:pt idx="47">
                  <c:v>109.05</c:v>
                </c:pt>
                <c:pt idx="48">
                  <c:v>106.9</c:v>
                </c:pt>
                <c:pt idx="49">
                  <c:v>100.82</c:v>
                </c:pt>
                <c:pt idx="50">
                  <c:v>94.39</c:v>
                </c:pt>
                <c:pt idx="51">
                  <c:v>92.96</c:v>
                </c:pt>
                <c:pt idx="52">
                  <c:v>84.38</c:v>
                </c:pt>
                <c:pt idx="53">
                  <c:v>77.94</c:v>
                </c:pt>
                <c:pt idx="54">
                  <c:v>79.37</c:v>
                </c:pt>
                <c:pt idx="55">
                  <c:v>74.010000000000005</c:v>
                </c:pt>
                <c:pt idx="56">
                  <c:v>67.930000000000007</c:v>
                </c:pt>
                <c:pt idx="57">
                  <c:v>68.650000000000006</c:v>
                </c:pt>
                <c:pt idx="58">
                  <c:v>67.22</c:v>
                </c:pt>
                <c:pt idx="59">
                  <c:v>65.069999999999993</c:v>
                </c:pt>
                <c:pt idx="60">
                  <c:v>60.78</c:v>
                </c:pt>
                <c:pt idx="61">
                  <c:v>64.709999999999994</c:v>
                </c:pt>
                <c:pt idx="62">
                  <c:v>66.14</c:v>
                </c:pt>
                <c:pt idx="63">
                  <c:v>64</c:v>
                </c:pt>
                <c:pt idx="64">
                  <c:v>65.069999999999993</c:v>
                </c:pt>
                <c:pt idx="65">
                  <c:v>67.22</c:v>
                </c:pt>
                <c:pt idx="66">
                  <c:v>66.5</c:v>
                </c:pt>
                <c:pt idx="67">
                  <c:v>66.14</c:v>
                </c:pt>
                <c:pt idx="68">
                  <c:v>64.36</c:v>
                </c:pt>
                <c:pt idx="69">
                  <c:v>#N/A</c:v>
                </c:pt>
              </c:numCache>
            </c:numRef>
          </c:val>
          <c:smooth val="1"/>
          <c:extLst>
            <c:ext xmlns:c16="http://schemas.microsoft.com/office/drawing/2014/chart" uri="{C3380CC4-5D6E-409C-BE32-E72D297353CC}">
              <c16:uniqueId val="{00000002-0259-49C7-B09C-49CD6FAA54ED}"/>
            </c:ext>
          </c:extLst>
        </c:ser>
        <c:ser>
          <c:idx val="3"/>
          <c:order val="3"/>
          <c:tx>
            <c:strRef>
              <c:f>'Top 50 (Pop &gt;100K)'!$E$65</c:f>
              <c:strCache>
                <c:ptCount val="1"/>
                <c:pt idx="0">
                  <c:v>Anchorage Muni, AK</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&gt;100K)'!$E$66:$E$135</c:f>
              <c:numCache>
                <c:formatCode>0.0</c:formatCode>
                <c:ptCount val="70"/>
                <c:pt idx="0">
                  <c:v>18.649999999999999</c:v>
                </c:pt>
                <c:pt idx="1">
                  <c:v>18.3</c:v>
                </c:pt>
                <c:pt idx="2">
                  <c:v>18.3</c:v>
                </c:pt>
                <c:pt idx="3">
                  <c:v>18.649999999999999</c:v>
                </c:pt>
                <c:pt idx="4">
                  <c:v>20.37</c:v>
                </c:pt>
                <c:pt idx="5">
                  <c:v>22.1</c:v>
                </c:pt>
                <c:pt idx="6">
                  <c:v>24.17</c:v>
                </c:pt>
                <c:pt idx="7">
                  <c:v>26.24</c:v>
                </c:pt>
                <c:pt idx="8">
                  <c:v>27.28</c:v>
                </c:pt>
                <c:pt idx="9">
                  <c:v>26.93</c:v>
                </c:pt>
                <c:pt idx="10">
                  <c:v>29.01</c:v>
                </c:pt>
                <c:pt idx="11">
                  <c:v>30.73</c:v>
                </c:pt>
                <c:pt idx="12">
                  <c:v>30.73</c:v>
                </c:pt>
                <c:pt idx="13">
                  <c:v>29.7</c:v>
                </c:pt>
                <c:pt idx="14">
                  <c:v>33.49</c:v>
                </c:pt>
                <c:pt idx="15">
                  <c:v>35.22</c:v>
                </c:pt>
                <c:pt idx="16">
                  <c:v>35.22</c:v>
                </c:pt>
                <c:pt idx="17">
                  <c:v>36.6</c:v>
                </c:pt>
                <c:pt idx="18">
                  <c:v>37.979999999999997</c:v>
                </c:pt>
                <c:pt idx="19">
                  <c:v>39.71</c:v>
                </c:pt>
                <c:pt idx="20">
                  <c:v>39.020000000000003</c:v>
                </c:pt>
                <c:pt idx="21">
                  <c:v>41.78</c:v>
                </c:pt>
                <c:pt idx="22">
                  <c:v>43.16</c:v>
                </c:pt>
                <c:pt idx="23">
                  <c:v>42.13</c:v>
                </c:pt>
                <c:pt idx="24">
                  <c:v>41.09</c:v>
                </c:pt>
                <c:pt idx="25">
                  <c:v>42.82</c:v>
                </c:pt>
                <c:pt idx="26">
                  <c:v>42.47</c:v>
                </c:pt>
                <c:pt idx="27">
                  <c:v>42.13</c:v>
                </c:pt>
                <c:pt idx="28">
                  <c:v>41.44</c:v>
                </c:pt>
                <c:pt idx="29">
                  <c:v>41.44</c:v>
                </c:pt>
                <c:pt idx="30">
                  <c:v>42.13</c:v>
                </c:pt>
                <c:pt idx="31">
                  <c:v>40.4</c:v>
                </c:pt>
                <c:pt idx="32">
                  <c:v>40.4</c:v>
                </c:pt>
                <c:pt idx="33">
                  <c:v>39.71</c:v>
                </c:pt>
                <c:pt idx="34">
                  <c:v>40.06</c:v>
                </c:pt>
                <c:pt idx="35">
                  <c:v>44.2</c:v>
                </c:pt>
                <c:pt idx="36">
                  <c:v>47.65</c:v>
                </c:pt>
                <c:pt idx="37">
                  <c:v>50.07</c:v>
                </c:pt>
                <c:pt idx="38">
                  <c:v>48</c:v>
                </c:pt>
                <c:pt idx="39">
                  <c:v>49.72</c:v>
                </c:pt>
                <c:pt idx="40">
                  <c:v>54.21</c:v>
                </c:pt>
                <c:pt idx="41">
                  <c:v>55.59</c:v>
                </c:pt>
                <c:pt idx="42">
                  <c:v>54.56</c:v>
                </c:pt>
                <c:pt idx="43">
                  <c:v>57.32</c:v>
                </c:pt>
                <c:pt idx="44">
                  <c:v>62.85</c:v>
                </c:pt>
                <c:pt idx="45">
                  <c:v>64.23</c:v>
                </c:pt>
                <c:pt idx="46">
                  <c:v>67.33</c:v>
                </c:pt>
                <c:pt idx="47">
                  <c:v>71.48</c:v>
                </c:pt>
                <c:pt idx="48">
                  <c:v>75.97</c:v>
                </c:pt>
                <c:pt idx="49">
                  <c:v>79.42</c:v>
                </c:pt>
                <c:pt idx="50">
                  <c:v>80.8</c:v>
                </c:pt>
                <c:pt idx="51">
                  <c:v>82.18</c:v>
                </c:pt>
                <c:pt idx="52">
                  <c:v>79.42</c:v>
                </c:pt>
                <c:pt idx="53">
                  <c:v>80.8</c:v>
                </c:pt>
                <c:pt idx="54">
                  <c:v>83.22</c:v>
                </c:pt>
                <c:pt idx="55">
                  <c:v>82.87</c:v>
                </c:pt>
                <c:pt idx="56">
                  <c:v>77</c:v>
                </c:pt>
                <c:pt idx="57">
                  <c:v>76.66</c:v>
                </c:pt>
                <c:pt idx="58">
                  <c:v>75.28</c:v>
                </c:pt>
                <c:pt idx="59">
                  <c:v>67.680000000000007</c:v>
                </c:pt>
                <c:pt idx="60">
                  <c:v>63.19</c:v>
                </c:pt>
                <c:pt idx="61">
                  <c:v>60.08</c:v>
                </c:pt>
                <c:pt idx="62">
                  <c:v>61.12</c:v>
                </c:pt>
                <c:pt idx="63">
                  <c:v>61.46</c:v>
                </c:pt>
                <c:pt idx="64">
                  <c:v>63.19</c:v>
                </c:pt>
                <c:pt idx="65">
                  <c:v>62.85</c:v>
                </c:pt>
                <c:pt idx="66">
                  <c:v>61.12</c:v>
                </c:pt>
                <c:pt idx="67">
                  <c:v>60.08</c:v>
                </c:pt>
                <c:pt idx="68">
                  <c:v>63.54</c:v>
                </c:pt>
                <c:pt idx="69">
                  <c:v>#N/A</c:v>
                </c:pt>
              </c:numCache>
            </c:numRef>
          </c:val>
          <c:smooth val="1"/>
          <c:extLst>
            <c:ext xmlns:c16="http://schemas.microsoft.com/office/drawing/2014/chart" uri="{C3380CC4-5D6E-409C-BE32-E72D297353CC}">
              <c16:uniqueId val="{00000003-0259-49C7-B09C-49CD6FAA54ED}"/>
            </c:ext>
          </c:extLst>
        </c:ser>
        <c:ser>
          <c:idx val="4"/>
          <c:order val="4"/>
          <c:tx>
            <c:strRef>
              <c:f>'Top 50 (Pop &gt;100K)'!$F$65</c:f>
              <c:strCache>
                <c:ptCount val="1"/>
                <c:pt idx="0">
                  <c:v>Butte, CA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&gt;100K)'!$F$66:$F$135</c:f>
              <c:numCache>
                <c:formatCode>0.0</c:formatCode>
                <c:ptCount val="70"/>
                <c:pt idx="0">
                  <c:v>24.48</c:v>
                </c:pt>
                <c:pt idx="1">
                  <c:v>25.92</c:v>
                </c:pt>
                <c:pt idx="2">
                  <c:v>24</c:v>
                </c:pt>
                <c:pt idx="3">
                  <c:v>22.56</c:v>
                </c:pt>
                <c:pt idx="4">
                  <c:v>23.52</c:v>
                </c:pt>
                <c:pt idx="5">
                  <c:v>25.44</c:v>
                </c:pt>
                <c:pt idx="6">
                  <c:v>28.32</c:v>
                </c:pt>
                <c:pt idx="7">
                  <c:v>32.64</c:v>
                </c:pt>
                <c:pt idx="8">
                  <c:v>32.64</c:v>
                </c:pt>
                <c:pt idx="9">
                  <c:v>33.119999999999997</c:v>
                </c:pt>
                <c:pt idx="10">
                  <c:v>33.119999999999997</c:v>
                </c:pt>
                <c:pt idx="11">
                  <c:v>33.6</c:v>
                </c:pt>
                <c:pt idx="12">
                  <c:v>37.92</c:v>
                </c:pt>
                <c:pt idx="13">
                  <c:v>39.840000000000003</c:v>
                </c:pt>
                <c:pt idx="14">
                  <c:v>43.2</c:v>
                </c:pt>
                <c:pt idx="15">
                  <c:v>47.52</c:v>
                </c:pt>
                <c:pt idx="16">
                  <c:v>49.92</c:v>
                </c:pt>
                <c:pt idx="17">
                  <c:v>50.88</c:v>
                </c:pt>
                <c:pt idx="18">
                  <c:v>48.96</c:v>
                </c:pt>
                <c:pt idx="19">
                  <c:v>49.44</c:v>
                </c:pt>
                <c:pt idx="20">
                  <c:v>49.44</c:v>
                </c:pt>
                <c:pt idx="21">
                  <c:v>51.84</c:v>
                </c:pt>
                <c:pt idx="22">
                  <c:v>54.72</c:v>
                </c:pt>
                <c:pt idx="23">
                  <c:v>57.6</c:v>
                </c:pt>
                <c:pt idx="24">
                  <c:v>56.16</c:v>
                </c:pt>
                <c:pt idx="25">
                  <c:v>56.64</c:v>
                </c:pt>
                <c:pt idx="26">
                  <c:v>57.12</c:v>
                </c:pt>
                <c:pt idx="27">
                  <c:v>54.72</c:v>
                </c:pt>
                <c:pt idx="28">
                  <c:v>52.8</c:v>
                </c:pt>
                <c:pt idx="29">
                  <c:v>55.2</c:v>
                </c:pt>
                <c:pt idx="30">
                  <c:v>55.2</c:v>
                </c:pt>
                <c:pt idx="31">
                  <c:v>52.8</c:v>
                </c:pt>
                <c:pt idx="32">
                  <c:v>54.72</c:v>
                </c:pt>
                <c:pt idx="33">
                  <c:v>56.64</c:v>
                </c:pt>
                <c:pt idx="34">
                  <c:v>55.2</c:v>
                </c:pt>
                <c:pt idx="35">
                  <c:v>53.28</c:v>
                </c:pt>
                <c:pt idx="36">
                  <c:v>56.64</c:v>
                </c:pt>
                <c:pt idx="37">
                  <c:v>54.72</c:v>
                </c:pt>
                <c:pt idx="38">
                  <c:v>54.72</c:v>
                </c:pt>
                <c:pt idx="39">
                  <c:v>57.12</c:v>
                </c:pt>
                <c:pt idx="40">
                  <c:v>62.88</c:v>
                </c:pt>
                <c:pt idx="41">
                  <c:v>62.4</c:v>
                </c:pt>
                <c:pt idx="42">
                  <c:v>67.680000000000007</c:v>
                </c:pt>
                <c:pt idx="43">
                  <c:v>67.680000000000007</c:v>
                </c:pt>
                <c:pt idx="44">
                  <c:v>65.760000000000005</c:v>
                </c:pt>
                <c:pt idx="45">
                  <c:v>67.2</c:v>
                </c:pt>
                <c:pt idx="46">
                  <c:v>66.72</c:v>
                </c:pt>
                <c:pt idx="47">
                  <c:v>65.28</c:v>
                </c:pt>
                <c:pt idx="48">
                  <c:v>64.8</c:v>
                </c:pt>
                <c:pt idx="49">
                  <c:v>66.239999999999995</c:v>
                </c:pt>
                <c:pt idx="50">
                  <c:v>67.680000000000007</c:v>
                </c:pt>
                <c:pt idx="51">
                  <c:v>65.760000000000005</c:v>
                </c:pt>
                <c:pt idx="52">
                  <c:v>58.56</c:v>
                </c:pt>
                <c:pt idx="53">
                  <c:v>54.72</c:v>
                </c:pt>
                <c:pt idx="54">
                  <c:v>53.76</c:v>
                </c:pt>
                <c:pt idx="55">
                  <c:v>53.28</c:v>
                </c:pt>
                <c:pt idx="56">
                  <c:v>54.24</c:v>
                </c:pt>
                <c:pt idx="57">
                  <c:v>51.36</c:v>
                </c:pt>
                <c:pt idx="58">
                  <c:v>51.84</c:v>
                </c:pt>
                <c:pt idx="59">
                  <c:v>54.72</c:v>
                </c:pt>
                <c:pt idx="60">
                  <c:v>52.8</c:v>
                </c:pt>
                <c:pt idx="61">
                  <c:v>56.16</c:v>
                </c:pt>
                <c:pt idx="62">
                  <c:v>53.28</c:v>
                </c:pt>
                <c:pt idx="63">
                  <c:v>55.68</c:v>
                </c:pt>
                <c:pt idx="64">
                  <c:v>57.12</c:v>
                </c:pt>
                <c:pt idx="65">
                  <c:v>60.96</c:v>
                </c:pt>
                <c:pt idx="66">
                  <c:v>59.52</c:v>
                </c:pt>
                <c:pt idx="67">
                  <c:v>59.52</c:v>
                </c:pt>
                <c:pt idx="68">
                  <c:v>60.96</c:v>
                </c:pt>
                <c:pt idx="69">
                  <c:v>#N/A</c:v>
                </c:pt>
              </c:numCache>
            </c:numRef>
          </c:val>
          <c:smooth val="1"/>
          <c:extLst>
            <c:ext xmlns:c16="http://schemas.microsoft.com/office/drawing/2014/chart" uri="{C3380CC4-5D6E-409C-BE32-E72D297353CC}">
              <c16:uniqueId val="{00000004-0259-49C7-B09C-49CD6FAA54ED}"/>
            </c:ext>
          </c:extLst>
        </c:ser>
        <c:ser>
          <c:idx val="5"/>
          <c:order val="5"/>
          <c:tx>
            <c:strRef>
              <c:f>'Top 50 (Pop &gt;100K)'!$G$65</c:f>
              <c:strCache>
                <c:ptCount val="1"/>
                <c:pt idx="0">
                  <c:v>Spokane,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&gt;100K)'!$G$66:$G$135</c:f>
              <c:numCache>
                <c:formatCode>0.0</c:formatCode>
                <c:ptCount val="70"/>
                <c:pt idx="0">
                  <c:v>14.93</c:v>
                </c:pt>
                <c:pt idx="1">
                  <c:v>15.29</c:v>
                </c:pt>
                <c:pt idx="2">
                  <c:v>15.83</c:v>
                </c:pt>
                <c:pt idx="3">
                  <c:v>16.010000000000002</c:v>
                </c:pt>
                <c:pt idx="4">
                  <c:v>15.29</c:v>
                </c:pt>
                <c:pt idx="5">
                  <c:v>16.37</c:v>
                </c:pt>
                <c:pt idx="6">
                  <c:v>16.55</c:v>
                </c:pt>
                <c:pt idx="7">
                  <c:v>16.91</c:v>
                </c:pt>
                <c:pt idx="8">
                  <c:v>16.55</c:v>
                </c:pt>
                <c:pt idx="9">
                  <c:v>17.09</c:v>
                </c:pt>
                <c:pt idx="10">
                  <c:v>17.809999999999999</c:v>
                </c:pt>
                <c:pt idx="11">
                  <c:v>18.53</c:v>
                </c:pt>
                <c:pt idx="12">
                  <c:v>17.63</c:v>
                </c:pt>
                <c:pt idx="13">
                  <c:v>17.45</c:v>
                </c:pt>
                <c:pt idx="14">
                  <c:v>18.71</c:v>
                </c:pt>
                <c:pt idx="15">
                  <c:v>19.79</c:v>
                </c:pt>
                <c:pt idx="16">
                  <c:v>19.61</c:v>
                </c:pt>
                <c:pt idx="17">
                  <c:v>19.97</c:v>
                </c:pt>
                <c:pt idx="18">
                  <c:v>23.38</c:v>
                </c:pt>
                <c:pt idx="19">
                  <c:v>25.18</c:v>
                </c:pt>
                <c:pt idx="20">
                  <c:v>27.88</c:v>
                </c:pt>
                <c:pt idx="21">
                  <c:v>30.4</c:v>
                </c:pt>
                <c:pt idx="22">
                  <c:v>32.020000000000003</c:v>
                </c:pt>
                <c:pt idx="23">
                  <c:v>33.1</c:v>
                </c:pt>
                <c:pt idx="24">
                  <c:v>34.72</c:v>
                </c:pt>
                <c:pt idx="25">
                  <c:v>36.69</c:v>
                </c:pt>
                <c:pt idx="26">
                  <c:v>38.49</c:v>
                </c:pt>
                <c:pt idx="27">
                  <c:v>38.67</c:v>
                </c:pt>
                <c:pt idx="28">
                  <c:v>40.47</c:v>
                </c:pt>
                <c:pt idx="29">
                  <c:v>41.37</c:v>
                </c:pt>
                <c:pt idx="30">
                  <c:v>40.11</c:v>
                </c:pt>
                <c:pt idx="31">
                  <c:v>39.39</c:v>
                </c:pt>
                <c:pt idx="32">
                  <c:v>38.31</c:v>
                </c:pt>
                <c:pt idx="33">
                  <c:v>38.49</c:v>
                </c:pt>
                <c:pt idx="34">
                  <c:v>38.49</c:v>
                </c:pt>
                <c:pt idx="35">
                  <c:v>38.85</c:v>
                </c:pt>
                <c:pt idx="36">
                  <c:v>39.57</c:v>
                </c:pt>
                <c:pt idx="37">
                  <c:v>40.11</c:v>
                </c:pt>
                <c:pt idx="38">
                  <c:v>39.39</c:v>
                </c:pt>
                <c:pt idx="39">
                  <c:v>39.93</c:v>
                </c:pt>
                <c:pt idx="40">
                  <c:v>40.11</c:v>
                </c:pt>
                <c:pt idx="41">
                  <c:v>40.29</c:v>
                </c:pt>
                <c:pt idx="42">
                  <c:v>41.73</c:v>
                </c:pt>
                <c:pt idx="43">
                  <c:v>42.45</c:v>
                </c:pt>
                <c:pt idx="44">
                  <c:v>42.99</c:v>
                </c:pt>
                <c:pt idx="45">
                  <c:v>41.01</c:v>
                </c:pt>
                <c:pt idx="46">
                  <c:v>40.65</c:v>
                </c:pt>
                <c:pt idx="47">
                  <c:v>41.91</c:v>
                </c:pt>
                <c:pt idx="48">
                  <c:v>42.63</c:v>
                </c:pt>
                <c:pt idx="49">
                  <c:v>44.25</c:v>
                </c:pt>
                <c:pt idx="50">
                  <c:v>45.87</c:v>
                </c:pt>
                <c:pt idx="51">
                  <c:v>47.85</c:v>
                </c:pt>
                <c:pt idx="52">
                  <c:v>49.11</c:v>
                </c:pt>
                <c:pt idx="53">
                  <c:v>50.54</c:v>
                </c:pt>
                <c:pt idx="54">
                  <c:v>51.08</c:v>
                </c:pt>
                <c:pt idx="55">
                  <c:v>51.08</c:v>
                </c:pt>
                <c:pt idx="56">
                  <c:v>52.88</c:v>
                </c:pt>
                <c:pt idx="57">
                  <c:v>55.4</c:v>
                </c:pt>
                <c:pt idx="58">
                  <c:v>56.12</c:v>
                </c:pt>
                <c:pt idx="59">
                  <c:v>56.84</c:v>
                </c:pt>
                <c:pt idx="60">
                  <c:v>59.36</c:v>
                </c:pt>
                <c:pt idx="61">
                  <c:v>59.36</c:v>
                </c:pt>
                <c:pt idx="62">
                  <c:v>59.72</c:v>
                </c:pt>
                <c:pt idx="63">
                  <c:v>59.54</c:v>
                </c:pt>
                <c:pt idx="64">
                  <c:v>58.64</c:v>
                </c:pt>
                <c:pt idx="65">
                  <c:v>57.56</c:v>
                </c:pt>
                <c:pt idx="66">
                  <c:v>58.28</c:v>
                </c:pt>
                <c:pt idx="67">
                  <c:v>59.54</c:v>
                </c:pt>
                <c:pt idx="68">
                  <c:v>57.92</c:v>
                </c:pt>
                <c:pt idx="69">
                  <c:v>61.88</c:v>
                </c:pt>
              </c:numCache>
            </c:numRef>
          </c:val>
          <c:smooth val="1"/>
          <c:extLst>
            <c:ext xmlns:c16="http://schemas.microsoft.com/office/drawing/2014/chart" uri="{C3380CC4-5D6E-409C-BE32-E72D297353CC}">
              <c16:uniqueId val="{00000005-0259-49C7-B09C-49CD6FAA54ED}"/>
            </c:ext>
          </c:extLst>
        </c:ser>
        <c:ser>
          <c:idx val="6"/>
          <c:order val="6"/>
          <c:tx>
            <c:strRef>
              <c:f>'Top 50 (Pop &gt;100K)'!$H$65</c:f>
              <c:strCache>
                <c:ptCount val="1"/>
                <c:pt idx="0">
                  <c:v>San Francisco, CA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&gt;100K)'!$H$66:$H$135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6-0259-49C7-B09C-49CD6FAA54ED}"/>
            </c:ext>
          </c:extLst>
        </c:ser>
        <c:ser>
          <c:idx val="7"/>
          <c:order val="7"/>
          <c:tx>
            <c:strRef>
              <c:f>'Top 50 (Pop &gt;100K)'!$I$65</c:f>
              <c:strCache>
                <c:ptCount val="1"/>
                <c:pt idx="0">
                  <c:v>El Paso, CO</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&gt;100K)'!$I$66:$I$135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7-0259-49C7-B09C-49CD6FAA54ED}"/>
            </c:ext>
          </c:extLst>
        </c:ser>
        <c:ser>
          <c:idx val="8"/>
          <c:order val="8"/>
          <c:tx>
            <c:strRef>
              <c:f>'Top 50 (Pop &gt;100K)'!$J$65</c:f>
              <c:strCache>
                <c:ptCount val="1"/>
                <c:pt idx="0">
                  <c:v>Philadelphia, PA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&gt;100K)'!$J$66:$J$135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8-0259-49C7-B09C-49CD6FAA54ED}"/>
            </c:ext>
          </c:extLst>
        </c:ser>
        <c:ser>
          <c:idx val="9"/>
          <c:order val="9"/>
          <c:tx>
            <c:strRef>
              <c:f>'Top 50 (Pop &gt;100K)'!$K$65</c:f>
              <c:strCache>
                <c:ptCount val="1"/>
                <c:pt idx="0">
                  <c:v>Multnomah, OR</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&gt;100K)'!$K$66:$K$135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9-0259-49C7-B09C-49CD6FAA54ED}"/>
            </c:ext>
          </c:extLst>
        </c:ser>
        <c:ser>
          <c:idx val="10"/>
          <c:order val="10"/>
          <c:tx>
            <c:strRef>
              <c:f>'Top 50 (Pop &gt;100K)'!$L$65</c:f>
              <c:strCache>
                <c:ptCount val="1"/>
                <c:pt idx="0">
                  <c:v>Denver, CO</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&gt;100K)'!$L$66:$L$135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A-0259-49C7-B09C-49CD6FAA54ED}"/>
            </c:ext>
          </c:extLst>
        </c:ser>
        <c:ser>
          <c:idx val="11"/>
          <c:order val="11"/>
          <c:tx>
            <c:strRef>
              <c:f>'Top 50 (Pop &gt;100K)'!$M$65</c:f>
              <c:strCache>
                <c:ptCount val="1"/>
                <c:pt idx="0">
                  <c:v>Orleans, LA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&gt;100K)'!$M$66:$M$135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B-0259-49C7-B09C-49CD6FAA54ED}"/>
            </c:ext>
          </c:extLst>
        </c:ser>
        <c:ser>
          <c:idx val="12"/>
          <c:order val="12"/>
          <c:tx>
            <c:strRef>
              <c:f>'Top 50 (Pop &gt;100K)'!$N$65</c:f>
              <c:strCache>
                <c:ptCount val="1"/>
                <c:pt idx="0">
                  <c:v>Humboldt, CA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&gt;100K)'!$N$66:$N$135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C-0259-49C7-B09C-49CD6FAA54ED}"/>
            </c:ext>
          </c:extLst>
        </c:ser>
        <c:ser>
          <c:idx val="13"/>
          <c:order val="13"/>
          <c:tx>
            <c:strRef>
              <c:f>'Top 50 (Pop &gt;100K)'!$O$65</c:f>
              <c:strCache>
                <c:ptCount val="1"/>
                <c:pt idx="0">
                  <c:v>Yakima,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&gt;100K)'!$O$66:$O$135</c:f>
              <c:numCache>
                <c:formatCode>0.0</c:formatCode>
                <c:ptCount val="70"/>
                <c:pt idx="0">
                  <c:v>17.79</c:v>
                </c:pt>
                <c:pt idx="1">
                  <c:v>19.73</c:v>
                </c:pt>
                <c:pt idx="2">
                  <c:v>21.66</c:v>
                </c:pt>
                <c:pt idx="3">
                  <c:v>23.6</c:v>
                </c:pt>
                <c:pt idx="4">
                  <c:v>25.92</c:v>
                </c:pt>
                <c:pt idx="5">
                  <c:v>29.01</c:v>
                </c:pt>
                <c:pt idx="6">
                  <c:v>31.33</c:v>
                </c:pt>
                <c:pt idx="7">
                  <c:v>33.65</c:v>
                </c:pt>
                <c:pt idx="8">
                  <c:v>32.880000000000003</c:v>
                </c:pt>
                <c:pt idx="9">
                  <c:v>31.33</c:v>
                </c:pt>
                <c:pt idx="10">
                  <c:v>31.33</c:v>
                </c:pt>
                <c:pt idx="11">
                  <c:v>29.01</c:v>
                </c:pt>
                <c:pt idx="12">
                  <c:v>32.49</c:v>
                </c:pt>
                <c:pt idx="13">
                  <c:v>31.72</c:v>
                </c:pt>
                <c:pt idx="14">
                  <c:v>30.95</c:v>
                </c:pt>
                <c:pt idx="15">
                  <c:v>32.11</c:v>
                </c:pt>
                <c:pt idx="16">
                  <c:v>30.56</c:v>
                </c:pt>
                <c:pt idx="17">
                  <c:v>30.17</c:v>
                </c:pt>
                <c:pt idx="18">
                  <c:v>30.95</c:v>
                </c:pt>
                <c:pt idx="19">
                  <c:v>32.880000000000003</c:v>
                </c:pt>
                <c:pt idx="20">
                  <c:v>33.270000000000003</c:v>
                </c:pt>
                <c:pt idx="21">
                  <c:v>34.04</c:v>
                </c:pt>
                <c:pt idx="22">
                  <c:v>35.97</c:v>
                </c:pt>
                <c:pt idx="23">
                  <c:v>37.130000000000003</c:v>
                </c:pt>
                <c:pt idx="24">
                  <c:v>33.270000000000003</c:v>
                </c:pt>
                <c:pt idx="25">
                  <c:v>35.590000000000003</c:v>
                </c:pt>
                <c:pt idx="26">
                  <c:v>35.590000000000003</c:v>
                </c:pt>
                <c:pt idx="27">
                  <c:v>33.65</c:v>
                </c:pt>
                <c:pt idx="28">
                  <c:v>34.43</c:v>
                </c:pt>
                <c:pt idx="29">
                  <c:v>32.49</c:v>
                </c:pt>
                <c:pt idx="30">
                  <c:v>31.72</c:v>
                </c:pt>
                <c:pt idx="31">
                  <c:v>29.01</c:v>
                </c:pt>
                <c:pt idx="32">
                  <c:v>27.08</c:v>
                </c:pt>
                <c:pt idx="33">
                  <c:v>28.62</c:v>
                </c:pt>
                <c:pt idx="34">
                  <c:v>28.62</c:v>
                </c:pt>
                <c:pt idx="35">
                  <c:v>31.33</c:v>
                </c:pt>
                <c:pt idx="36">
                  <c:v>32.49</c:v>
                </c:pt>
                <c:pt idx="37">
                  <c:v>31.72</c:v>
                </c:pt>
                <c:pt idx="38">
                  <c:v>32.880000000000003</c:v>
                </c:pt>
                <c:pt idx="39">
                  <c:v>34.43</c:v>
                </c:pt>
                <c:pt idx="40">
                  <c:v>34.81</c:v>
                </c:pt>
                <c:pt idx="41">
                  <c:v>35.97</c:v>
                </c:pt>
                <c:pt idx="42">
                  <c:v>35.97</c:v>
                </c:pt>
                <c:pt idx="43">
                  <c:v>37.909999999999997</c:v>
                </c:pt>
                <c:pt idx="44">
                  <c:v>42.94</c:v>
                </c:pt>
                <c:pt idx="45">
                  <c:v>42.55</c:v>
                </c:pt>
                <c:pt idx="46">
                  <c:v>42.55</c:v>
                </c:pt>
                <c:pt idx="47">
                  <c:v>41.78</c:v>
                </c:pt>
                <c:pt idx="48">
                  <c:v>42.94</c:v>
                </c:pt>
                <c:pt idx="49">
                  <c:v>42.55</c:v>
                </c:pt>
                <c:pt idx="50">
                  <c:v>45.26</c:v>
                </c:pt>
                <c:pt idx="51">
                  <c:v>46.03</c:v>
                </c:pt>
                <c:pt idx="52">
                  <c:v>49.9</c:v>
                </c:pt>
                <c:pt idx="53">
                  <c:v>51.83</c:v>
                </c:pt>
                <c:pt idx="54">
                  <c:v>53.38</c:v>
                </c:pt>
                <c:pt idx="55">
                  <c:v>51.45</c:v>
                </c:pt>
                <c:pt idx="56">
                  <c:v>49.51</c:v>
                </c:pt>
                <c:pt idx="57">
                  <c:v>51.06</c:v>
                </c:pt>
                <c:pt idx="58">
                  <c:v>55.31</c:v>
                </c:pt>
                <c:pt idx="59">
                  <c:v>57.25</c:v>
                </c:pt>
                <c:pt idx="60">
                  <c:v>57.64</c:v>
                </c:pt>
                <c:pt idx="61">
                  <c:v>58.8</c:v>
                </c:pt>
                <c:pt idx="62">
                  <c:v>54.93</c:v>
                </c:pt>
                <c:pt idx="63">
                  <c:v>55.31</c:v>
                </c:pt>
                <c:pt idx="64">
                  <c:v>51.83</c:v>
                </c:pt>
                <c:pt idx="65">
                  <c:v>50.29</c:v>
                </c:pt>
                <c:pt idx="66">
                  <c:v>49.13</c:v>
                </c:pt>
                <c:pt idx="67">
                  <c:v>49.13</c:v>
                </c:pt>
                <c:pt idx="68">
                  <c:v>47.58</c:v>
                </c:pt>
                <c:pt idx="69">
                  <c:v>#N/A</c:v>
                </c:pt>
              </c:numCache>
            </c:numRef>
          </c:val>
          <c:smooth val="1"/>
          <c:extLst>
            <c:ext xmlns:c16="http://schemas.microsoft.com/office/drawing/2014/chart" uri="{C3380CC4-5D6E-409C-BE32-E72D297353CC}">
              <c16:uniqueId val="{0000000D-0259-49C7-B09C-49CD6FAA54ED}"/>
            </c:ext>
          </c:extLst>
        </c:ser>
        <c:ser>
          <c:idx val="14"/>
          <c:order val="14"/>
          <c:tx>
            <c:strRef>
              <c:f>'Top 50 (Pop &gt;100K)'!$P$65</c:f>
              <c:strCache>
                <c:ptCount val="1"/>
                <c:pt idx="0">
                  <c:v>Mohave, AZ</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&gt;100K)'!$P$66:$P$135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E-0259-49C7-B09C-49CD6FAA54ED}"/>
            </c:ext>
          </c:extLst>
        </c:ser>
        <c:ser>
          <c:idx val="15"/>
          <c:order val="15"/>
          <c:tx>
            <c:strRef>
              <c:f>'Top 50 (Pop &gt;100K)'!$Q$65</c:f>
              <c:strCache>
                <c:ptCount val="1"/>
                <c:pt idx="0">
                  <c:v>Cecil, MD</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&gt;100K)'!$Q$66:$Q$135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F-0259-49C7-B09C-49CD6FAA54ED}"/>
            </c:ext>
          </c:extLst>
        </c:ser>
        <c:ser>
          <c:idx val="16"/>
          <c:order val="16"/>
          <c:tx>
            <c:strRef>
              <c:f>'Top 50 (Pop &gt;100K)'!$R$65</c:f>
              <c:strCache>
                <c:ptCount val="1"/>
                <c:pt idx="0">
                  <c:v>Pierce,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&gt;100K)'!$R$66:$R$135</c:f>
              <c:numCache>
                <c:formatCode>0.0</c:formatCode>
                <c:ptCount val="70"/>
                <c:pt idx="0">
                  <c:v>15.73</c:v>
                </c:pt>
                <c:pt idx="1">
                  <c:v>15.19</c:v>
                </c:pt>
                <c:pt idx="2">
                  <c:v>16.149999999999999</c:v>
                </c:pt>
                <c:pt idx="3">
                  <c:v>18.170000000000002</c:v>
                </c:pt>
                <c:pt idx="4">
                  <c:v>19.87</c:v>
                </c:pt>
                <c:pt idx="5">
                  <c:v>20.079999999999998</c:v>
                </c:pt>
                <c:pt idx="6">
                  <c:v>21.78</c:v>
                </c:pt>
                <c:pt idx="7">
                  <c:v>21.99</c:v>
                </c:pt>
                <c:pt idx="8">
                  <c:v>23.27</c:v>
                </c:pt>
                <c:pt idx="9">
                  <c:v>24.12</c:v>
                </c:pt>
                <c:pt idx="10">
                  <c:v>25.5</c:v>
                </c:pt>
                <c:pt idx="11">
                  <c:v>26.35</c:v>
                </c:pt>
                <c:pt idx="12">
                  <c:v>27.09</c:v>
                </c:pt>
                <c:pt idx="13">
                  <c:v>28.05</c:v>
                </c:pt>
                <c:pt idx="14">
                  <c:v>28.58</c:v>
                </c:pt>
                <c:pt idx="15">
                  <c:v>29.54</c:v>
                </c:pt>
                <c:pt idx="16">
                  <c:v>30.07</c:v>
                </c:pt>
                <c:pt idx="17">
                  <c:v>31.77</c:v>
                </c:pt>
                <c:pt idx="18">
                  <c:v>33.47</c:v>
                </c:pt>
                <c:pt idx="19">
                  <c:v>36.130000000000003</c:v>
                </c:pt>
                <c:pt idx="20">
                  <c:v>35.81</c:v>
                </c:pt>
                <c:pt idx="21">
                  <c:v>35.81</c:v>
                </c:pt>
                <c:pt idx="22">
                  <c:v>35.28</c:v>
                </c:pt>
                <c:pt idx="23">
                  <c:v>36.229999999999997</c:v>
                </c:pt>
                <c:pt idx="24">
                  <c:v>37.4</c:v>
                </c:pt>
                <c:pt idx="25">
                  <c:v>38.25</c:v>
                </c:pt>
                <c:pt idx="26">
                  <c:v>37.83</c:v>
                </c:pt>
                <c:pt idx="27">
                  <c:v>37.29</c:v>
                </c:pt>
                <c:pt idx="28">
                  <c:v>35.81</c:v>
                </c:pt>
                <c:pt idx="29">
                  <c:v>35.380000000000003</c:v>
                </c:pt>
                <c:pt idx="30">
                  <c:v>35.590000000000003</c:v>
                </c:pt>
                <c:pt idx="31">
                  <c:v>33.36</c:v>
                </c:pt>
                <c:pt idx="32">
                  <c:v>32.409999999999997</c:v>
                </c:pt>
                <c:pt idx="33">
                  <c:v>33.89</c:v>
                </c:pt>
                <c:pt idx="34">
                  <c:v>34.74</c:v>
                </c:pt>
                <c:pt idx="35">
                  <c:v>37.19</c:v>
                </c:pt>
                <c:pt idx="36">
                  <c:v>37.83</c:v>
                </c:pt>
                <c:pt idx="37">
                  <c:v>38.14</c:v>
                </c:pt>
                <c:pt idx="38">
                  <c:v>39.21</c:v>
                </c:pt>
                <c:pt idx="39">
                  <c:v>40.479999999999997</c:v>
                </c:pt>
                <c:pt idx="40">
                  <c:v>43.03</c:v>
                </c:pt>
                <c:pt idx="41">
                  <c:v>45.26</c:v>
                </c:pt>
                <c:pt idx="42">
                  <c:v>45.48</c:v>
                </c:pt>
                <c:pt idx="43">
                  <c:v>46.96</c:v>
                </c:pt>
                <c:pt idx="44">
                  <c:v>49.09</c:v>
                </c:pt>
                <c:pt idx="45">
                  <c:v>49.41</c:v>
                </c:pt>
                <c:pt idx="46">
                  <c:v>49.83</c:v>
                </c:pt>
                <c:pt idx="47">
                  <c:v>48.66</c:v>
                </c:pt>
                <c:pt idx="48">
                  <c:v>48.56</c:v>
                </c:pt>
                <c:pt idx="49">
                  <c:v>49.41</c:v>
                </c:pt>
                <c:pt idx="50">
                  <c:v>49.09</c:v>
                </c:pt>
                <c:pt idx="51">
                  <c:v>48.13</c:v>
                </c:pt>
                <c:pt idx="52">
                  <c:v>47.81</c:v>
                </c:pt>
                <c:pt idx="53">
                  <c:v>46.01</c:v>
                </c:pt>
                <c:pt idx="54">
                  <c:v>44.94</c:v>
                </c:pt>
                <c:pt idx="55">
                  <c:v>43.03</c:v>
                </c:pt>
                <c:pt idx="56">
                  <c:v>42.18</c:v>
                </c:pt>
                <c:pt idx="57">
                  <c:v>41.65</c:v>
                </c:pt>
                <c:pt idx="58">
                  <c:v>40.909999999999997</c:v>
                </c:pt>
                <c:pt idx="59">
                  <c:v>41.65</c:v>
                </c:pt>
                <c:pt idx="60">
                  <c:v>43.67</c:v>
                </c:pt>
                <c:pt idx="61">
                  <c:v>43.99</c:v>
                </c:pt>
                <c:pt idx="62">
                  <c:v>46.75</c:v>
                </c:pt>
                <c:pt idx="63">
                  <c:v>47.49</c:v>
                </c:pt>
                <c:pt idx="64">
                  <c:v>46.75</c:v>
                </c:pt>
                <c:pt idx="65">
                  <c:v>46.43</c:v>
                </c:pt>
                <c:pt idx="66">
                  <c:v>45.05</c:v>
                </c:pt>
                <c:pt idx="67">
                  <c:v>46.22</c:v>
                </c:pt>
                <c:pt idx="68">
                  <c:v>46.22</c:v>
                </c:pt>
                <c:pt idx="69">
                  <c:v>#N/A</c:v>
                </c:pt>
              </c:numCache>
            </c:numRef>
          </c:val>
          <c:smooth val="1"/>
          <c:extLst>
            <c:ext xmlns:c16="http://schemas.microsoft.com/office/drawing/2014/chart" uri="{C3380CC4-5D6E-409C-BE32-E72D297353CC}">
              <c16:uniqueId val="{00000010-0259-49C7-B09C-49CD6FAA54ED}"/>
            </c:ext>
          </c:extLst>
        </c:ser>
        <c:ser>
          <c:idx val="17"/>
          <c:order val="17"/>
          <c:tx>
            <c:strRef>
              <c:f>'Top 50 (Pop &gt;100K)'!$S$65</c:f>
              <c:strCache>
                <c:ptCount val="1"/>
                <c:pt idx="0">
                  <c:v>Knox, TN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&gt;100K)'!$S$66:$S$135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1-0259-49C7-B09C-49CD6FAA54ED}"/>
            </c:ext>
          </c:extLst>
        </c:ser>
        <c:ser>
          <c:idx val="18"/>
          <c:order val="18"/>
          <c:tx>
            <c:strRef>
              <c:f>'Top 50 (Pop &gt;100K)'!$T$65</c:f>
              <c:strCache>
                <c:ptCount val="1"/>
                <c:pt idx="0">
                  <c:v>Bernalillo, NM</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&gt;100K)'!$T$66:$T$135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2-0259-49C7-B09C-49CD6FAA54ED}"/>
            </c:ext>
          </c:extLst>
        </c:ser>
        <c:ser>
          <c:idx val="19"/>
          <c:order val="19"/>
          <c:tx>
            <c:strRef>
              <c:f>'Top 50 (Pop &gt;100K)'!$U$65</c:f>
              <c:strCache>
                <c:ptCount val="1"/>
                <c:pt idx="0">
                  <c:v>Kanawha, WV</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&gt;100K)'!$U$66:$U$135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3-0259-49C7-B09C-49CD6FAA54ED}"/>
            </c:ext>
          </c:extLst>
        </c:ser>
        <c:ser>
          <c:idx val="20"/>
          <c:order val="20"/>
          <c:tx>
            <c:strRef>
              <c:f>'Top 50 (Pop &gt;100K)'!$V$65</c:f>
              <c:strCache>
                <c:ptCount val="1"/>
                <c:pt idx="0">
                  <c:v>Cowlitz,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&gt;100K)'!$V$66:$V$135</c:f>
              <c:numCache>
                <c:formatCode>0.0</c:formatCode>
                <c:ptCount val="70"/>
                <c:pt idx="0">
                  <c:v>17.55</c:v>
                </c:pt>
                <c:pt idx="1">
                  <c:v>17.55</c:v>
                </c:pt>
                <c:pt idx="2">
                  <c:v>18.420000000000002</c:v>
                </c:pt>
                <c:pt idx="3">
                  <c:v>19.3</c:v>
                </c:pt>
                <c:pt idx="4">
                  <c:v>20.18</c:v>
                </c:pt>
                <c:pt idx="5">
                  <c:v>21.93</c:v>
                </c:pt>
                <c:pt idx="6">
                  <c:v>23.69</c:v>
                </c:pt>
                <c:pt idx="7">
                  <c:v>21.93</c:v>
                </c:pt>
                <c:pt idx="8">
                  <c:v>26.32</c:v>
                </c:pt>
                <c:pt idx="9">
                  <c:v>27.2</c:v>
                </c:pt>
                <c:pt idx="10">
                  <c:v>26.32</c:v>
                </c:pt>
                <c:pt idx="11">
                  <c:v>24.57</c:v>
                </c:pt>
                <c:pt idx="12">
                  <c:v>24.57</c:v>
                </c:pt>
                <c:pt idx="13">
                  <c:v>26.32</c:v>
                </c:pt>
                <c:pt idx="14">
                  <c:v>27.2</c:v>
                </c:pt>
                <c:pt idx="15">
                  <c:v>26.32</c:v>
                </c:pt>
                <c:pt idx="16">
                  <c:v>28.07</c:v>
                </c:pt>
                <c:pt idx="17">
                  <c:v>25.44</c:v>
                </c:pt>
                <c:pt idx="18">
                  <c:v>21.06</c:v>
                </c:pt>
                <c:pt idx="19">
                  <c:v>23.69</c:v>
                </c:pt>
                <c:pt idx="20">
                  <c:v>21.06</c:v>
                </c:pt>
                <c:pt idx="21">
                  <c:v>21.93</c:v>
                </c:pt>
                <c:pt idx="22">
                  <c:v>27.2</c:v>
                </c:pt>
                <c:pt idx="23">
                  <c:v>27.2</c:v>
                </c:pt>
                <c:pt idx="24">
                  <c:v>30.71</c:v>
                </c:pt>
                <c:pt idx="25">
                  <c:v>30.71</c:v>
                </c:pt>
                <c:pt idx="26">
                  <c:v>32.46</c:v>
                </c:pt>
                <c:pt idx="27">
                  <c:v>32.46</c:v>
                </c:pt>
                <c:pt idx="28">
                  <c:v>34.22</c:v>
                </c:pt>
                <c:pt idx="29">
                  <c:v>35.97</c:v>
                </c:pt>
                <c:pt idx="30">
                  <c:v>36.85</c:v>
                </c:pt>
                <c:pt idx="31">
                  <c:v>35.97</c:v>
                </c:pt>
                <c:pt idx="32">
                  <c:v>35.97</c:v>
                </c:pt>
                <c:pt idx="33">
                  <c:v>34.22</c:v>
                </c:pt>
                <c:pt idx="34">
                  <c:v>29.83</c:v>
                </c:pt>
                <c:pt idx="35">
                  <c:v>34.22</c:v>
                </c:pt>
                <c:pt idx="36">
                  <c:v>35.090000000000003</c:v>
                </c:pt>
                <c:pt idx="37">
                  <c:v>33.340000000000003</c:v>
                </c:pt>
                <c:pt idx="38">
                  <c:v>33.340000000000003</c:v>
                </c:pt>
                <c:pt idx="39">
                  <c:v>32.46</c:v>
                </c:pt>
                <c:pt idx="40">
                  <c:v>34.22</c:v>
                </c:pt>
                <c:pt idx="41">
                  <c:v>31.58</c:v>
                </c:pt>
                <c:pt idx="42">
                  <c:v>36.85</c:v>
                </c:pt>
                <c:pt idx="43">
                  <c:v>39.479999999999997</c:v>
                </c:pt>
                <c:pt idx="44">
                  <c:v>38.6</c:v>
                </c:pt>
                <c:pt idx="45">
                  <c:v>42.99</c:v>
                </c:pt>
                <c:pt idx="46">
                  <c:v>46.5</c:v>
                </c:pt>
                <c:pt idx="47">
                  <c:v>44.74</c:v>
                </c:pt>
                <c:pt idx="48">
                  <c:v>44.74</c:v>
                </c:pt>
                <c:pt idx="49">
                  <c:v>49.13</c:v>
                </c:pt>
                <c:pt idx="50">
                  <c:v>50.89</c:v>
                </c:pt>
                <c:pt idx="51">
                  <c:v>54.39</c:v>
                </c:pt>
                <c:pt idx="52">
                  <c:v>51.76</c:v>
                </c:pt>
                <c:pt idx="53">
                  <c:v>54.39</c:v>
                </c:pt>
                <c:pt idx="54">
                  <c:v>51.76</c:v>
                </c:pt>
                <c:pt idx="55">
                  <c:v>49.13</c:v>
                </c:pt>
                <c:pt idx="56">
                  <c:v>53.52</c:v>
                </c:pt>
                <c:pt idx="57">
                  <c:v>50.89</c:v>
                </c:pt>
                <c:pt idx="58">
                  <c:v>47.38</c:v>
                </c:pt>
                <c:pt idx="59">
                  <c:v>47.38</c:v>
                </c:pt>
                <c:pt idx="60">
                  <c:v>46.5</c:v>
                </c:pt>
                <c:pt idx="61">
                  <c:v>42.99</c:v>
                </c:pt>
                <c:pt idx="62">
                  <c:v>45.62</c:v>
                </c:pt>
                <c:pt idx="63">
                  <c:v>45.62</c:v>
                </c:pt>
                <c:pt idx="64">
                  <c:v>44.74</c:v>
                </c:pt>
                <c:pt idx="65">
                  <c:v>45.62</c:v>
                </c:pt>
                <c:pt idx="66">
                  <c:v>44.74</c:v>
                </c:pt>
                <c:pt idx="67">
                  <c:v>44.74</c:v>
                </c:pt>
                <c:pt idx="68">
                  <c:v>42.99</c:v>
                </c:pt>
                <c:pt idx="69">
                  <c:v>#N/A</c:v>
                </c:pt>
              </c:numCache>
            </c:numRef>
          </c:val>
          <c:smooth val="1"/>
          <c:extLst>
            <c:ext xmlns:c16="http://schemas.microsoft.com/office/drawing/2014/chart" uri="{C3380CC4-5D6E-409C-BE32-E72D297353CC}">
              <c16:uniqueId val="{00000014-0259-49C7-B09C-49CD6FAA54ED}"/>
            </c:ext>
          </c:extLst>
        </c:ser>
        <c:ser>
          <c:idx val="21"/>
          <c:order val="21"/>
          <c:tx>
            <c:strRef>
              <c:f>'Top 50 (Pop &gt;100K)'!$W$65</c:f>
              <c:strCache>
                <c:ptCount val="1"/>
                <c:pt idx="0">
                  <c:v>Davidson, TN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&gt;100K)'!$W$66:$W$135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5-0259-49C7-B09C-49CD6FAA54ED}"/>
            </c:ext>
          </c:extLst>
        </c:ser>
        <c:ser>
          <c:idx val="22"/>
          <c:order val="22"/>
          <c:tx>
            <c:strRef>
              <c:f>'Top 50 (Pop &gt;100K)'!$X$65</c:f>
              <c:strCache>
                <c:ptCount val="1"/>
                <c:pt idx="0">
                  <c:v>Bronx, NY</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&gt;100K)'!$X$66:$X$135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6-0259-49C7-B09C-49CD6FAA54ED}"/>
            </c:ext>
          </c:extLst>
        </c:ser>
        <c:ser>
          <c:idx val="23"/>
          <c:order val="23"/>
          <c:tx>
            <c:strRef>
              <c:f>'Top 50 (Pop &gt;100K)'!$Y$65</c:f>
              <c:strCache>
                <c:ptCount val="1"/>
                <c:pt idx="0">
                  <c:v>Pueblo, CO</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&gt;100K)'!$Y$66:$Y$135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7-0259-49C7-B09C-49CD6FAA54ED}"/>
            </c:ext>
          </c:extLst>
        </c:ser>
        <c:ser>
          <c:idx val="24"/>
          <c:order val="24"/>
          <c:tx>
            <c:strRef>
              <c:f>'Top 50 (Pop &gt;100K)'!$Z$65</c:f>
              <c:strCache>
                <c:ptCount val="1"/>
                <c:pt idx="0">
                  <c:v>Atlantic, NJ</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&gt;100K)'!$Z$66:$Z$135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8-0259-49C7-B09C-49CD6FAA54ED}"/>
            </c:ext>
          </c:extLst>
        </c:ser>
        <c:ser>
          <c:idx val="25"/>
          <c:order val="25"/>
          <c:tx>
            <c:strRef>
              <c:f>'Top 50 (Pop &gt;100K)'!$AA$65</c:f>
              <c:strCache>
                <c:ptCount val="1"/>
                <c:pt idx="0">
                  <c:v>Jackson, MS</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&gt;100K)'!$AA$66:$AA$135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9-0259-49C7-B09C-49CD6FAA54ED}"/>
            </c:ext>
          </c:extLst>
        </c:ser>
        <c:ser>
          <c:idx val="26"/>
          <c:order val="26"/>
          <c:tx>
            <c:strRef>
              <c:f>'Top 50 (Pop &gt;100K)'!$AB$65</c:f>
              <c:strCache>
                <c:ptCount val="1"/>
                <c:pt idx="0">
                  <c:v>King,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&gt;100K)'!$AB$66:$AB$135</c:f>
              <c:numCache>
                <c:formatCode>0.0</c:formatCode>
                <c:ptCount val="70"/>
                <c:pt idx="0">
                  <c:v>17.43</c:v>
                </c:pt>
                <c:pt idx="1">
                  <c:v>17.61</c:v>
                </c:pt>
                <c:pt idx="2">
                  <c:v>18.29</c:v>
                </c:pt>
                <c:pt idx="3">
                  <c:v>19.309999999999999</c:v>
                </c:pt>
                <c:pt idx="4">
                  <c:v>20.21</c:v>
                </c:pt>
                <c:pt idx="5">
                  <c:v>20.77</c:v>
                </c:pt>
                <c:pt idx="6">
                  <c:v>21.28</c:v>
                </c:pt>
                <c:pt idx="7">
                  <c:v>21.15</c:v>
                </c:pt>
                <c:pt idx="8">
                  <c:v>20.77</c:v>
                </c:pt>
                <c:pt idx="9">
                  <c:v>20.72</c:v>
                </c:pt>
                <c:pt idx="10">
                  <c:v>21.11</c:v>
                </c:pt>
                <c:pt idx="11">
                  <c:v>21.15</c:v>
                </c:pt>
                <c:pt idx="12">
                  <c:v>22.09</c:v>
                </c:pt>
                <c:pt idx="13">
                  <c:v>22.13</c:v>
                </c:pt>
                <c:pt idx="14">
                  <c:v>22.43</c:v>
                </c:pt>
                <c:pt idx="15">
                  <c:v>22.6</c:v>
                </c:pt>
                <c:pt idx="16">
                  <c:v>23.54</c:v>
                </c:pt>
                <c:pt idx="17">
                  <c:v>24.48</c:v>
                </c:pt>
                <c:pt idx="18">
                  <c:v>25.04</c:v>
                </c:pt>
                <c:pt idx="19">
                  <c:v>25.3</c:v>
                </c:pt>
                <c:pt idx="20">
                  <c:v>26.49</c:v>
                </c:pt>
                <c:pt idx="21">
                  <c:v>27.31</c:v>
                </c:pt>
                <c:pt idx="22">
                  <c:v>27.9</c:v>
                </c:pt>
                <c:pt idx="23">
                  <c:v>28.5</c:v>
                </c:pt>
                <c:pt idx="24">
                  <c:v>28.8</c:v>
                </c:pt>
                <c:pt idx="25">
                  <c:v>28.93</c:v>
                </c:pt>
                <c:pt idx="26">
                  <c:v>29.27</c:v>
                </c:pt>
                <c:pt idx="27">
                  <c:v>29.14</c:v>
                </c:pt>
                <c:pt idx="28">
                  <c:v>29.01</c:v>
                </c:pt>
                <c:pt idx="29">
                  <c:v>29.01</c:v>
                </c:pt>
                <c:pt idx="30">
                  <c:v>29.66</c:v>
                </c:pt>
                <c:pt idx="31">
                  <c:v>32.130000000000003</c:v>
                </c:pt>
                <c:pt idx="32">
                  <c:v>33.159999999999997</c:v>
                </c:pt>
                <c:pt idx="33">
                  <c:v>34.4</c:v>
                </c:pt>
                <c:pt idx="34">
                  <c:v>36.49</c:v>
                </c:pt>
                <c:pt idx="35">
                  <c:v>39.1</c:v>
                </c:pt>
                <c:pt idx="36">
                  <c:v>41.53</c:v>
                </c:pt>
                <c:pt idx="37">
                  <c:v>42.65</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41.24</c:v>
                </c:pt>
                <c:pt idx="58">
                  <c:v>41.06</c:v>
                </c:pt>
                <c:pt idx="59">
                  <c:v>41.75</c:v>
                </c:pt>
                <c:pt idx="60">
                  <c:v>41.36</c:v>
                </c:pt>
                <c:pt idx="61">
                  <c:v>40.64</c:v>
                </c:pt>
                <c:pt idx="62">
                  <c:v>41.36</c:v>
                </c:pt>
                <c:pt idx="63">
                  <c:v>41.11</c:v>
                </c:pt>
                <c:pt idx="64">
                  <c:v>40.51</c:v>
                </c:pt>
                <c:pt idx="65">
                  <c:v>40.17</c:v>
                </c:pt>
                <c:pt idx="66">
                  <c:v>39.909999999999997</c:v>
                </c:pt>
                <c:pt idx="67">
                  <c:v>39.61</c:v>
                </c:pt>
                <c:pt idx="68">
                  <c:v>39.36</c:v>
                </c:pt>
                <c:pt idx="69">
                  <c:v>#N/A</c:v>
                </c:pt>
              </c:numCache>
            </c:numRef>
          </c:val>
          <c:smooth val="1"/>
          <c:extLst>
            <c:ext xmlns:c16="http://schemas.microsoft.com/office/drawing/2014/chart" uri="{C3380CC4-5D6E-409C-BE32-E72D297353CC}">
              <c16:uniqueId val="{0000001A-0259-49C7-B09C-49CD6FAA54ED}"/>
            </c:ext>
          </c:extLst>
        </c:ser>
        <c:ser>
          <c:idx val="27"/>
          <c:order val="27"/>
          <c:tx>
            <c:strRef>
              <c:f>'Top 50 (Pop &gt;100K)'!$AC$65</c:f>
              <c:strCache>
                <c:ptCount val="1"/>
                <c:pt idx="0">
                  <c:v>Marion, IN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&gt;100K)'!$AC$66:$AC$135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B-0259-49C7-B09C-49CD6FAA54ED}"/>
            </c:ext>
          </c:extLst>
        </c:ser>
        <c:ser>
          <c:idx val="28"/>
          <c:order val="28"/>
          <c:tx>
            <c:strRef>
              <c:f>'Top 50 (Pop &gt;100K)'!$AD$65</c:f>
              <c:strCache>
                <c:ptCount val="1"/>
                <c:pt idx="0">
                  <c:v>Terrebonne, LA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&gt;100K)'!$AD$66:$AD$135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C-0259-49C7-B09C-49CD6FAA54ED}"/>
            </c:ext>
          </c:extLst>
        </c:ser>
        <c:ser>
          <c:idx val="29"/>
          <c:order val="29"/>
          <c:tx>
            <c:strRef>
              <c:f>'Top 50 (Pop &gt;100K)'!$AE$65</c:f>
              <c:strCache>
                <c:ptCount val="1"/>
                <c:pt idx="0">
                  <c:v>District of Columbia, DC</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&gt;100K)'!$AE$66:$AE$135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D-0259-49C7-B09C-49CD6FAA54ED}"/>
            </c:ext>
          </c:extLst>
        </c:ser>
        <c:ser>
          <c:idx val="30"/>
          <c:order val="30"/>
          <c:tx>
            <c:strRef>
              <c:f>'Top 50 (Pop &gt;100K)'!$AF$65</c:f>
              <c:strCache>
                <c:ptCount val="1"/>
                <c:pt idx="0">
                  <c:v>Navajo, AZ</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&gt;100K)'!$AF$66:$AF$135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E-0259-49C7-B09C-49CD6FAA54ED}"/>
            </c:ext>
          </c:extLst>
        </c:ser>
        <c:ser>
          <c:idx val="31"/>
          <c:order val="31"/>
          <c:tx>
            <c:strRef>
              <c:f>'Top 50 (Pop &gt;100K)'!$AG$65</c:f>
              <c:strCache>
                <c:ptCount val="1"/>
                <c:pt idx="0">
                  <c:v>Madison, IN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&gt;100K)'!$AG$66:$AG$135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F-0259-49C7-B09C-49CD6FAA54ED}"/>
            </c:ext>
          </c:extLst>
        </c:ser>
        <c:ser>
          <c:idx val="32"/>
          <c:order val="32"/>
          <c:tx>
            <c:strRef>
              <c:f>'Top 50 (Pop &gt;100K)'!$AH$65</c:f>
              <c:strCache>
                <c:ptCount val="1"/>
                <c:pt idx="0">
                  <c:v>Sangamon, IL</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&gt;100K)'!$AH$66:$AH$135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0-0259-49C7-B09C-49CD6FAA54ED}"/>
            </c:ext>
          </c:extLst>
        </c:ser>
        <c:ser>
          <c:idx val="33"/>
          <c:order val="33"/>
          <c:tx>
            <c:strRef>
              <c:f>'Top 50 (Pop &gt;100K)'!$AI$65</c:f>
              <c:strCache>
                <c:ptCount val="1"/>
                <c:pt idx="0">
                  <c:v>Skagit,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&gt;100K)'!$AI$66:$AI$135</c:f>
              <c:numCache>
                <c:formatCode>0.0</c:formatCode>
                <c:ptCount val="70"/>
                <c:pt idx="0">
                  <c:v>13.56</c:v>
                </c:pt>
                <c:pt idx="1">
                  <c:v>14.31</c:v>
                </c:pt>
                <c:pt idx="2">
                  <c:v>17.329999999999998</c:v>
                </c:pt>
                <c:pt idx="3">
                  <c:v>19.59</c:v>
                </c:pt>
                <c:pt idx="4">
                  <c:v>20.34</c:v>
                </c:pt>
                <c:pt idx="5">
                  <c:v>19.59</c:v>
                </c:pt>
                <c:pt idx="6">
                  <c:v>18.829999999999998</c:v>
                </c:pt>
                <c:pt idx="7">
                  <c:v>20.34</c:v>
                </c:pt>
                <c:pt idx="8">
                  <c:v>24.86</c:v>
                </c:pt>
                <c:pt idx="9">
                  <c:v>26.37</c:v>
                </c:pt>
                <c:pt idx="10">
                  <c:v>27.87</c:v>
                </c:pt>
                <c:pt idx="11">
                  <c:v>30.89</c:v>
                </c:pt>
                <c:pt idx="12">
                  <c:v>30.89</c:v>
                </c:pt>
                <c:pt idx="13">
                  <c:v>30.14</c:v>
                </c:pt>
                <c:pt idx="14">
                  <c:v>27.87</c:v>
                </c:pt>
                <c:pt idx="15">
                  <c:v>30.14</c:v>
                </c:pt>
                <c:pt idx="16">
                  <c:v>28.63</c:v>
                </c:pt>
                <c:pt idx="17">
                  <c:v>32.4</c:v>
                </c:pt>
                <c:pt idx="18">
                  <c:v>34.659999999999997</c:v>
                </c:pt>
                <c:pt idx="19">
                  <c:v>33.15</c:v>
                </c:pt>
                <c:pt idx="20">
                  <c:v>31.64</c:v>
                </c:pt>
                <c:pt idx="21">
                  <c:v>30.14</c:v>
                </c:pt>
                <c:pt idx="22">
                  <c:v>29.38</c:v>
                </c:pt>
                <c:pt idx="23">
                  <c:v>30.14</c:v>
                </c:pt>
                <c:pt idx="24">
                  <c:v>33.15</c:v>
                </c:pt>
                <c:pt idx="25">
                  <c:v>31.64</c:v>
                </c:pt>
                <c:pt idx="26">
                  <c:v>30.89</c:v>
                </c:pt>
                <c:pt idx="27">
                  <c:v>28.63</c:v>
                </c:pt>
                <c:pt idx="28">
                  <c:v>31.64</c:v>
                </c:pt>
                <c:pt idx="29">
                  <c:v>30.14</c:v>
                </c:pt>
                <c:pt idx="30">
                  <c:v>27.87</c:v>
                </c:pt>
                <c:pt idx="31">
                  <c:v>28.63</c:v>
                </c:pt>
                <c:pt idx="32">
                  <c:v>27.12</c:v>
                </c:pt>
                <c:pt idx="33">
                  <c:v>28.63</c:v>
                </c:pt>
                <c:pt idx="34">
                  <c:v>27.87</c:v>
                </c:pt>
                <c:pt idx="35">
                  <c:v>29.38</c:v>
                </c:pt>
                <c:pt idx="36">
                  <c:v>25.61</c:v>
                </c:pt>
                <c:pt idx="37">
                  <c:v>29.38</c:v>
                </c:pt>
                <c:pt idx="38">
                  <c:v>30.89</c:v>
                </c:pt>
                <c:pt idx="39">
                  <c:v>33.9</c:v>
                </c:pt>
                <c:pt idx="40">
                  <c:v>32.4</c:v>
                </c:pt>
                <c:pt idx="41">
                  <c:v>32.4</c:v>
                </c:pt>
                <c:pt idx="42">
                  <c:v>35.409999999999997</c:v>
                </c:pt>
                <c:pt idx="43">
                  <c:v>35.409999999999997</c:v>
                </c:pt>
                <c:pt idx="44">
                  <c:v>37.67</c:v>
                </c:pt>
                <c:pt idx="45">
                  <c:v>36.159999999999997</c:v>
                </c:pt>
                <c:pt idx="46">
                  <c:v>37.67</c:v>
                </c:pt>
                <c:pt idx="47">
                  <c:v>40.68</c:v>
                </c:pt>
                <c:pt idx="48">
                  <c:v>41.44</c:v>
                </c:pt>
                <c:pt idx="49">
                  <c:v>40.68</c:v>
                </c:pt>
                <c:pt idx="50">
                  <c:v>44.45</c:v>
                </c:pt>
                <c:pt idx="51">
                  <c:v>39.93</c:v>
                </c:pt>
                <c:pt idx="52">
                  <c:v>39.93</c:v>
                </c:pt>
                <c:pt idx="53">
                  <c:v>37.67</c:v>
                </c:pt>
                <c:pt idx="54">
                  <c:v>36.159999999999997</c:v>
                </c:pt>
                <c:pt idx="55">
                  <c:v>37.67</c:v>
                </c:pt>
                <c:pt idx="56">
                  <c:v>37.67</c:v>
                </c:pt>
                <c:pt idx="57">
                  <c:v>39.93</c:v>
                </c:pt>
                <c:pt idx="58">
                  <c:v>41.44</c:v>
                </c:pt>
                <c:pt idx="59">
                  <c:v>35.409999999999997</c:v>
                </c:pt>
                <c:pt idx="60">
                  <c:v>36.92</c:v>
                </c:pt>
                <c:pt idx="61">
                  <c:v>36.159999999999997</c:v>
                </c:pt>
                <c:pt idx="62">
                  <c:v>33.15</c:v>
                </c:pt>
                <c:pt idx="63">
                  <c:v>35.409999999999997</c:v>
                </c:pt>
                <c:pt idx="64">
                  <c:v>34.659999999999997</c:v>
                </c:pt>
                <c:pt idx="65">
                  <c:v>40.68</c:v>
                </c:pt>
                <c:pt idx="66">
                  <c:v>37.67</c:v>
                </c:pt>
                <c:pt idx="67">
                  <c:v>37.67</c:v>
                </c:pt>
                <c:pt idx="68">
                  <c:v>36.92</c:v>
                </c:pt>
                <c:pt idx="69">
                  <c:v>#N/A</c:v>
                </c:pt>
              </c:numCache>
            </c:numRef>
          </c:val>
          <c:smooth val="1"/>
          <c:extLst>
            <c:ext xmlns:c16="http://schemas.microsoft.com/office/drawing/2014/chart" uri="{C3380CC4-5D6E-409C-BE32-E72D297353CC}">
              <c16:uniqueId val="{00000021-0259-49C7-B09C-49CD6FAA54ED}"/>
            </c:ext>
          </c:extLst>
        </c:ser>
        <c:ser>
          <c:idx val="34"/>
          <c:order val="34"/>
          <c:tx>
            <c:strRef>
              <c:f>'Top 50 (Pop &gt;100K)'!$AJ$65</c:f>
              <c:strCache>
                <c:ptCount val="1"/>
                <c:pt idx="0">
                  <c:v>Richmond (city), VA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&gt;100K)'!$AJ$66:$AJ$135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2-0259-49C7-B09C-49CD6FAA54ED}"/>
            </c:ext>
          </c:extLst>
        </c:ser>
        <c:ser>
          <c:idx val="35"/>
          <c:order val="35"/>
          <c:tx>
            <c:strRef>
              <c:f>'Top 50 (Pop &gt;100K)'!$AK$65</c:f>
              <c:strCache>
                <c:ptCount val="1"/>
                <c:pt idx="0">
                  <c:v>Milwaukee, WI</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&gt;100K)'!$AK$66:$AK$135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3-0259-49C7-B09C-49CD6FAA54ED}"/>
            </c:ext>
          </c:extLst>
        </c:ser>
        <c:ser>
          <c:idx val="36"/>
          <c:order val="36"/>
          <c:tx>
            <c:strRef>
              <c:f>'Top 50 (Pop &gt;100K)'!$AL$65</c:f>
              <c:strCache>
                <c:ptCount val="1"/>
                <c:pt idx="0">
                  <c:v>Thurston,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&gt;100K)'!$AL$66:$AL$135</c:f>
              <c:numCache>
                <c:formatCode>0.0</c:formatCode>
                <c:ptCount val="70"/>
                <c:pt idx="0">
                  <c:v>12.88</c:v>
                </c:pt>
                <c:pt idx="1">
                  <c:v>12.21</c:v>
                </c:pt>
                <c:pt idx="2">
                  <c:v>10.89</c:v>
                </c:pt>
                <c:pt idx="3">
                  <c:v>10.89</c:v>
                </c:pt>
                <c:pt idx="4">
                  <c:v>11.55</c:v>
                </c:pt>
                <c:pt idx="5">
                  <c:v>13.54</c:v>
                </c:pt>
                <c:pt idx="6">
                  <c:v>14.2</c:v>
                </c:pt>
                <c:pt idx="7">
                  <c:v>12.88</c:v>
                </c:pt>
                <c:pt idx="8">
                  <c:v>13.54</c:v>
                </c:pt>
                <c:pt idx="9">
                  <c:v>15.52</c:v>
                </c:pt>
                <c:pt idx="10">
                  <c:v>15.52</c:v>
                </c:pt>
                <c:pt idx="11">
                  <c:v>16.510000000000002</c:v>
                </c:pt>
                <c:pt idx="12">
                  <c:v>17.170000000000002</c:v>
                </c:pt>
                <c:pt idx="13">
                  <c:v>18.16</c:v>
                </c:pt>
                <c:pt idx="14">
                  <c:v>20.14</c:v>
                </c:pt>
                <c:pt idx="15">
                  <c:v>20.14</c:v>
                </c:pt>
                <c:pt idx="16">
                  <c:v>20.8</c:v>
                </c:pt>
                <c:pt idx="17">
                  <c:v>21.13</c:v>
                </c:pt>
                <c:pt idx="18">
                  <c:v>22.12</c:v>
                </c:pt>
                <c:pt idx="19">
                  <c:v>23.44</c:v>
                </c:pt>
                <c:pt idx="20">
                  <c:v>24.43</c:v>
                </c:pt>
                <c:pt idx="21">
                  <c:v>25.09</c:v>
                </c:pt>
                <c:pt idx="22">
                  <c:v>27.4</c:v>
                </c:pt>
                <c:pt idx="23">
                  <c:v>30.37</c:v>
                </c:pt>
                <c:pt idx="24">
                  <c:v>32.020000000000003</c:v>
                </c:pt>
                <c:pt idx="25">
                  <c:v>32.68</c:v>
                </c:pt>
                <c:pt idx="26">
                  <c:v>33.67</c:v>
                </c:pt>
                <c:pt idx="27">
                  <c:v>35.979999999999997</c:v>
                </c:pt>
                <c:pt idx="28">
                  <c:v>38.630000000000003</c:v>
                </c:pt>
                <c:pt idx="29">
                  <c:v>39.619999999999997</c:v>
                </c:pt>
                <c:pt idx="30">
                  <c:v>41.27</c:v>
                </c:pt>
                <c:pt idx="31">
                  <c:v>44.9</c:v>
                </c:pt>
                <c:pt idx="32">
                  <c:v>42.92</c:v>
                </c:pt>
                <c:pt idx="33">
                  <c:v>41.93</c:v>
                </c:pt>
                <c:pt idx="34">
                  <c:v>41.27</c:v>
                </c:pt>
                <c:pt idx="35">
                  <c:v>42.26</c:v>
                </c:pt>
                <c:pt idx="36">
                  <c:v>42.26</c:v>
                </c:pt>
                <c:pt idx="37">
                  <c:v>41.93</c:v>
                </c:pt>
                <c:pt idx="38">
                  <c:v>41.27</c:v>
                </c:pt>
                <c:pt idx="39">
                  <c:v>40.94</c:v>
                </c:pt>
                <c:pt idx="40">
                  <c:v>39.29</c:v>
                </c:pt>
                <c:pt idx="41">
                  <c:v>40.28</c:v>
                </c:pt>
                <c:pt idx="42">
                  <c:v>39.619999999999997</c:v>
                </c:pt>
                <c:pt idx="43">
                  <c:v>37.630000000000003</c:v>
                </c:pt>
                <c:pt idx="44">
                  <c:v>39.29</c:v>
                </c:pt>
                <c:pt idx="45">
                  <c:v>40.28</c:v>
                </c:pt>
                <c:pt idx="46">
                  <c:v>40.61</c:v>
                </c:pt>
                <c:pt idx="47">
                  <c:v>39.619999999999997</c:v>
                </c:pt>
                <c:pt idx="48">
                  <c:v>39.29</c:v>
                </c:pt>
                <c:pt idx="49">
                  <c:v>40.28</c:v>
                </c:pt>
                <c:pt idx="50">
                  <c:v>40.28</c:v>
                </c:pt>
                <c:pt idx="51">
                  <c:v>38.96</c:v>
                </c:pt>
                <c:pt idx="52">
                  <c:v>38.96</c:v>
                </c:pt>
                <c:pt idx="53">
                  <c:v>38.29</c:v>
                </c:pt>
                <c:pt idx="54">
                  <c:v>39.619999999999997</c:v>
                </c:pt>
                <c:pt idx="55">
                  <c:v>38.630000000000003</c:v>
                </c:pt>
                <c:pt idx="56">
                  <c:v>40.61</c:v>
                </c:pt>
                <c:pt idx="57">
                  <c:v>40.61</c:v>
                </c:pt>
                <c:pt idx="58">
                  <c:v>41.93</c:v>
                </c:pt>
                <c:pt idx="59">
                  <c:v>39.950000000000003</c:v>
                </c:pt>
                <c:pt idx="60">
                  <c:v>41.6</c:v>
                </c:pt>
                <c:pt idx="61">
                  <c:v>41.93</c:v>
                </c:pt>
                <c:pt idx="62">
                  <c:v>41.27</c:v>
                </c:pt>
                <c:pt idx="63">
                  <c:v>41.93</c:v>
                </c:pt>
                <c:pt idx="64">
                  <c:v>42.26</c:v>
                </c:pt>
                <c:pt idx="65">
                  <c:v>39.619999999999997</c:v>
                </c:pt>
                <c:pt idx="66">
                  <c:v>38.29</c:v>
                </c:pt>
                <c:pt idx="67">
                  <c:v>38.29</c:v>
                </c:pt>
                <c:pt idx="68">
                  <c:v>36.64</c:v>
                </c:pt>
                <c:pt idx="69">
                  <c:v>#N/A</c:v>
                </c:pt>
              </c:numCache>
            </c:numRef>
          </c:val>
          <c:smooth val="1"/>
          <c:extLst>
            <c:ext xmlns:c16="http://schemas.microsoft.com/office/drawing/2014/chart" uri="{C3380CC4-5D6E-409C-BE32-E72D297353CC}">
              <c16:uniqueId val="{00000024-0259-49C7-B09C-49CD6FAA54ED}"/>
            </c:ext>
          </c:extLst>
        </c:ser>
        <c:ser>
          <c:idx val="37"/>
          <c:order val="37"/>
          <c:tx>
            <c:strRef>
              <c:f>'Top 50 (Pop &gt;100K)'!$AM$65</c:f>
              <c:strCache>
                <c:ptCount val="1"/>
                <c:pt idx="0">
                  <c:v>Coconino, AZ</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&gt;100K)'!$AM$66:$AM$135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5-0259-49C7-B09C-49CD6FAA54ED}"/>
            </c:ext>
          </c:extLst>
        </c:ser>
        <c:ser>
          <c:idx val="38"/>
          <c:order val="38"/>
          <c:tx>
            <c:strRef>
              <c:f>'Top 50 (Pop &gt;100K)'!$AN$65</c:f>
              <c:strCache>
                <c:ptCount val="1"/>
                <c:pt idx="0">
                  <c:v>Jefferson, KY</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&gt;100K)'!$AN$66:$AN$135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6-0259-49C7-B09C-49CD6FAA54ED}"/>
            </c:ext>
          </c:extLst>
        </c:ser>
        <c:ser>
          <c:idx val="39"/>
          <c:order val="39"/>
          <c:tx>
            <c:strRef>
              <c:f>'Top 50 (Pop &gt;100K)'!$AO$65</c:f>
              <c:strCache>
                <c:ptCount val="1"/>
                <c:pt idx="0">
                  <c:v>Pima, AZ</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&gt;100K)'!$AO$66:$AO$135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7-0259-49C7-B09C-49CD6FAA54ED}"/>
            </c:ext>
          </c:extLst>
        </c:ser>
        <c:ser>
          <c:idx val="40"/>
          <c:order val="40"/>
          <c:tx>
            <c:strRef>
              <c:f>'Top 50 (Pop &gt;100K)'!$AP$65</c:f>
              <c:strCache>
                <c:ptCount val="1"/>
                <c:pt idx="0">
                  <c:v>Kent, DE</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&gt;100K)'!$AP$66:$AP$135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8-0259-49C7-B09C-49CD6FAA54ED}"/>
            </c:ext>
          </c:extLst>
        </c:ser>
        <c:ser>
          <c:idx val="41"/>
          <c:order val="41"/>
          <c:tx>
            <c:strRef>
              <c:f>'Top 50 (Pop &gt;100K)'!$AQ$65</c:f>
              <c:strCache>
                <c:ptCount val="1"/>
                <c:pt idx="0">
                  <c:v>Washoe, NV</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&gt;100K)'!$AQ$66:$AQ$135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9-0259-49C7-B09C-49CD6FAA54ED}"/>
            </c:ext>
          </c:extLst>
        </c:ser>
        <c:ser>
          <c:idx val="42"/>
          <c:order val="42"/>
          <c:tx>
            <c:strRef>
              <c:f>'Top 50 (Pop &gt;100K)'!$AR$65</c:f>
              <c:strCache>
                <c:ptCount val="1"/>
                <c:pt idx="0">
                  <c:v>Shawnee, KS</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&gt;100K)'!$AR$66:$AR$135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A-0259-49C7-B09C-49CD6FAA54ED}"/>
            </c:ext>
          </c:extLst>
        </c:ser>
        <c:ser>
          <c:idx val="43"/>
          <c:order val="43"/>
          <c:tx>
            <c:strRef>
              <c:f>'Top 50 (Pop &gt;100K)'!$AS$65</c:f>
              <c:strCache>
                <c:ptCount val="1"/>
                <c:pt idx="0">
                  <c:v>New Castle, DE</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&gt;100K)'!$AS$66:$AS$135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B-0259-49C7-B09C-49CD6FAA54ED}"/>
            </c:ext>
          </c:extLst>
        </c:ser>
        <c:ser>
          <c:idx val="44"/>
          <c:order val="44"/>
          <c:tx>
            <c:strRef>
              <c:f>'Top 50 (Pop &gt;100K)'!$AT$65</c:f>
              <c:strCache>
                <c:ptCount val="1"/>
                <c:pt idx="0">
                  <c:v>Shelby, TN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&gt;100K)'!$AT$66:$AT$135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C-0259-49C7-B09C-49CD6FAA54ED}"/>
            </c:ext>
          </c:extLst>
        </c:ser>
        <c:ser>
          <c:idx val="45"/>
          <c:order val="45"/>
          <c:tx>
            <c:strRef>
              <c:f>'Top 50 (Pop &gt;100K)'!$AU$65</c:f>
              <c:strCache>
                <c:ptCount val="1"/>
                <c:pt idx="0">
                  <c:v>Grant,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&gt;100K)'!$AU$66:$AU$135</c:f>
              <c:numCache>
                <c:formatCode>0.0</c:formatCode>
                <c:ptCount val="70"/>
                <c:pt idx="0">
                  <c:v>11.46</c:v>
                </c:pt>
                <c:pt idx="1">
                  <c:v>12.41</c:v>
                </c:pt>
                <c:pt idx="2">
                  <c:v>11.46</c:v>
                </c:pt>
                <c:pt idx="3">
                  <c:v>11.46</c:v>
                </c:pt>
                <c:pt idx="4">
                  <c:v>13.37</c:v>
                </c:pt>
                <c:pt idx="5">
                  <c:v>13.37</c:v>
                </c:pt>
                <c:pt idx="6">
                  <c:v>12.41</c:v>
                </c:pt>
                <c:pt idx="7">
                  <c:v>14.32</c:v>
                </c:pt>
                <c:pt idx="8">
                  <c:v>13.37</c:v>
                </c:pt>
                <c:pt idx="9">
                  <c:v>14.32</c:v>
                </c:pt>
                <c:pt idx="10">
                  <c:v>14.32</c:v>
                </c:pt>
                <c:pt idx="11">
                  <c:v>17.190000000000001</c:v>
                </c:pt>
                <c:pt idx="12">
                  <c:v>20.05</c:v>
                </c:pt>
                <c:pt idx="13">
                  <c:v>21.01</c:v>
                </c:pt>
                <c:pt idx="14">
                  <c:v>24.83</c:v>
                </c:pt>
                <c:pt idx="15">
                  <c:v>26.74</c:v>
                </c:pt>
                <c:pt idx="16">
                  <c:v>23.87</c:v>
                </c:pt>
                <c:pt idx="17">
                  <c:v>21.96</c:v>
                </c:pt>
                <c:pt idx="18">
                  <c:v>25.78</c:v>
                </c:pt>
                <c:pt idx="19">
                  <c:v>25.78</c:v>
                </c:pt>
                <c:pt idx="20">
                  <c:v>25.78</c:v>
                </c:pt>
                <c:pt idx="21">
                  <c:v>24.83</c:v>
                </c:pt>
                <c:pt idx="22">
                  <c:v>26.74</c:v>
                </c:pt>
                <c:pt idx="23">
                  <c:v>26.74</c:v>
                </c:pt>
                <c:pt idx="24">
                  <c:v>26.74</c:v>
                </c:pt>
                <c:pt idx="25">
                  <c:v>26.74</c:v>
                </c:pt>
                <c:pt idx="26">
                  <c:v>23.87</c:v>
                </c:pt>
                <c:pt idx="27">
                  <c:v>22.92</c:v>
                </c:pt>
                <c:pt idx="28">
                  <c:v>26.74</c:v>
                </c:pt>
                <c:pt idx="29">
                  <c:v>28.65</c:v>
                </c:pt>
                <c:pt idx="30">
                  <c:v>27.69</c:v>
                </c:pt>
                <c:pt idx="31">
                  <c:v>29.6</c:v>
                </c:pt>
                <c:pt idx="32">
                  <c:v>30.56</c:v>
                </c:pt>
                <c:pt idx="33">
                  <c:v>34.380000000000003</c:v>
                </c:pt>
                <c:pt idx="34">
                  <c:v>35.33</c:v>
                </c:pt>
                <c:pt idx="35">
                  <c:v>34.380000000000003</c:v>
                </c:pt>
                <c:pt idx="36">
                  <c:v>34.380000000000003</c:v>
                </c:pt>
                <c:pt idx="37">
                  <c:v>36.29</c:v>
                </c:pt>
                <c:pt idx="38">
                  <c:v>37.24</c:v>
                </c:pt>
                <c:pt idx="39">
                  <c:v>40.11</c:v>
                </c:pt>
                <c:pt idx="40">
                  <c:v>38.200000000000003</c:v>
                </c:pt>
                <c:pt idx="41">
                  <c:v>38.200000000000003</c:v>
                </c:pt>
                <c:pt idx="42">
                  <c:v>37.24</c:v>
                </c:pt>
                <c:pt idx="43">
                  <c:v>36.29</c:v>
                </c:pt>
                <c:pt idx="44">
                  <c:v>36.29</c:v>
                </c:pt>
                <c:pt idx="45">
                  <c:v>35.33</c:v>
                </c:pt>
                <c:pt idx="46">
                  <c:v>33.42</c:v>
                </c:pt>
                <c:pt idx="47">
                  <c:v>34.380000000000003</c:v>
                </c:pt>
                <c:pt idx="48">
                  <c:v>33.42</c:v>
                </c:pt>
                <c:pt idx="49">
                  <c:v>33.42</c:v>
                </c:pt>
                <c:pt idx="50">
                  <c:v>32.47</c:v>
                </c:pt>
                <c:pt idx="51">
                  <c:v>28.65</c:v>
                </c:pt>
                <c:pt idx="52">
                  <c:v>28.65</c:v>
                </c:pt>
                <c:pt idx="53">
                  <c:v>30.56</c:v>
                </c:pt>
                <c:pt idx="54">
                  <c:v>29.6</c:v>
                </c:pt>
                <c:pt idx="55">
                  <c:v>28.65</c:v>
                </c:pt>
                <c:pt idx="56">
                  <c:v>30.56</c:v>
                </c:pt>
                <c:pt idx="57">
                  <c:v>29.6</c:v>
                </c:pt>
                <c:pt idx="58">
                  <c:v>32.47</c:v>
                </c:pt>
                <c:pt idx="59">
                  <c:v>30.56</c:v>
                </c:pt>
                <c:pt idx="60">
                  <c:v>33.42</c:v>
                </c:pt>
                <c:pt idx="61">
                  <c:v>31.51</c:v>
                </c:pt>
                <c:pt idx="62">
                  <c:v>29.6</c:v>
                </c:pt>
                <c:pt idx="63">
                  <c:v>32.47</c:v>
                </c:pt>
                <c:pt idx="64">
                  <c:v>33.42</c:v>
                </c:pt>
                <c:pt idx="65">
                  <c:v>32.47</c:v>
                </c:pt>
                <c:pt idx="66">
                  <c:v>37.24</c:v>
                </c:pt>
                <c:pt idx="67">
                  <c:v>38.200000000000003</c:v>
                </c:pt>
                <c:pt idx="68">
                  <c:v>35.33</c:v>
                </c:pt>
                <c:pt idx="69">
                  <c:v>#N/A</c:v>
                </c:pt>
              </c:numCache>
            </c:numRef>
          </c:val>
          <c:smooth val="1"/>
          <c:extLst>
            <c:ext xmlns:c16="http://schemas.microsoft.com/office/drawing/2014/chart" uri="{C3380CC4-5D6E-409C-BE32-E72D297353CC}">
              <c16:uniqueId val="{0000002D-0259-49C7-B09C-49CD6FAA54ED}"/>
            </c:ext>
          </c:extLst>
        </c:ser>
        <c:ser>
          <c:idx val="46"/>
          <c:order val="46"/>
          <c:tx>
            <c:strRef>
              <c:f>'Top 50 (Pop &gt;100K)'!$AV$65</c:f>
              <c:strCache>
                <c:ptCount val="1"/>
                <c:pt idx="0">
                  <c:v>Whatcom, WA</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&gt;100K)'!$AV$66:$AV$135</c:f>
              <c:numCache>
                <c:formatCode>0.0</c:formatCode>
                <c:ptCount val="70"/>
                <c:pt idx="0">
                  <c:v>9.36</c:v>
                </c:pt>
                <c:pt idx="1">
                  <c:v>8.51</c:v>
                </c:pt>
                <c:pt idx="2">
                  <c:v>9.36</c:v>
                </c:pt>
                <c:pt idx="3">
                  <c:v>9.7899999999999991</c:v>
                </c:pt>
                <c:pt idx="4">
                  <c:v>12.77</c:v>
                </c:pt>
                <c:pt idx="5">
                  <c:v>12.77</c:v>
                </c:pt>
                <c:pt idx="6">
                  <c:v>11.92</c:v>
                </c:pt>
                <c:pt idx="7">
                  <c:v>13.62</c:v>
                </c:pt>
                <c:pt idx="8">
                  <c:v>14.05</c:v>
                </c:pt>
                <c:pt idx="9">
                  <c:v>14.47</c:v>
                </c:pt>
                <c:pt idx="10">
                  <c:v>14.47</c:v>
                </c:pt>
                <c:pt idx="11">
                  <c:v>15.32</c:v>
                </c:pt>
                <c:pt idx="12">
                  <c:v>17.45</c:v>
                </c:pt>
                <c:pt idx="13">
                  <c:v>17.45</c:v>
                </c:pt>
                <c:pt idx="14">
                  <c:v>20</c:v>
                </c:pt>
                <c:pt idx="15">
                  <c:v>20</c:v>
                </c:pt>
                <c:pt idx="16">
                  <c:v>19.149999999999999</c:v>
                </c:pt>
                <c:pt idx="17">
                  <c:v>19.579999999999998</c:v>
                </c:pt>
                <c:pt idx="18">
                  <c:v>19.579999999999998</c:v>
                </c:pt>
                <c:pt idx="19">
                  <c:v>18.73</c:v>
                </c:pt>
                <c:pt idx="20">
                  <c:v>19.579999999999998</c:v>
                </c:pt>
                <c:pt idx="21">
                  <c:v>19.579999999999998</c:v>
                </c:pt>
                <c:pt idx="22">
                  <c:v>19.149999999999999</c:v>
                </c:pt>
                <c:pt idx="23">
                  <c:v>18.3</c:v>
                </c:pt>
                <c:pt idx="24">
                  <c:v>18.73</c:v>
                </c:pt>
                <c:pt idx="25">
                  <c:v>19.579999999999998</c:v>
                </c:pt>
                <c:pt idx="26">
                  <c:v>18.3</c:v>
                </c:pt>
                <c:pt idx="27">
                  <c:v>20.43</c:v>
                </c:pt>
                <c:pt idx="28">
                  <c:v>20.43</c:v>
                </c:pt>
                <c:pt idx="29">
                  <c:v>20</c:v>
                </c:pt>
                <c:pt idx="30">
                  <c:v>22.13</c:v>
                </c:pt>
                <c:pt idx="31">
                  <c:v>22.98</c:v>
                </c:pt>
                <c:pt idx="32">
                  <c:v>23.83</c:v>
                </c:pt>
                <c:pt idx="33">
                  <c:v>26.81</c:v>
                </c:pt>
                <c:pt idx="34">
                  <c:v>29.37</c:v>
                </c:pt>
                <c:pt idx="35">
                  <c:v>31.5</c:v>
                </c:pt>
                <c:pt idx="36">
                  <c:v>29.79</c:v>
                </c:pt>
                <c:pt idx="37">
                  <c:v>31.07</c:v>
                </c:pt>
                <c:pt idx="38">
                  <c:v>34.9</c:v>
                </c:pt>
                <c:pt idx="39">
                  <c:v>36.6</c:v>
                </c:pt>
                <c:pt idx="40">
                  <c:v>39.58</c:v>
                </c:pt>
                <c:pt idx="41">
                  <c:v>42.56</c:v>
                </c:pt>
                <c:pt idx="42">
                  <c:v>44.26</c:v>
                </c:pt>
                <c:pt idx="43">
                  <c:v>44.26</c:v>
                </c:pt>
                <c:pt idx="44">
                  <c:v>46.39</c:v>
                </c:pt>
                <c:pt idx="45">
                  <c:v>46.82</c:v>
                </c:pt>
                <c:pt idx="46">
                  <c:v>46.82</c:v>
                </c:pt>
                <c:pt idx="47">
                  <c:v>49.8</c:v>
                </c:pt>
                <c:pt idx="48">
                  <c:v>52.35</c:v>
                </c:pt>
                <c:pt idx="49">
                  <c:v>52.78</c:v>
                </c:pt>
                <c:pt idx="50">
                  <c:v>49.37</c:v>
                </c:pt>
                <c:pt idx="51">
                  <c:v>47.24</c:v>
                </c:pt>
                <c:pt idx="52">
                  <c:v>48.95</c:v>
                </c:pt>
                <c:pt idx="53">
                  <c:v>49.8</c:v>
                </c:pt>
                <c:pt idx="54">
                  <c:v>48.52</c:v>
                </c:pt>
                <c:pt idx="55">
                  <c:v>48.09</c:v>
                </c:pt>
                <c:pt idx="56">
                  <c:v>45.54</c:v>
                </c:pt>
                <c:pt idx="57">
                  <c:v>44.26</c:v>
                </c:pt>
                <c:pt idx="58">
                  <c:v>42.99</c:v>
                </c:pt>
                <c:pt idx="59">
                  <c:v>40.43</c:v>
                </c:pt>
                <c:pt idx="60">
                  <c:v>37.03</c:v>
                </c:pt>
                <c:pt idx="61">
                  <c:v>35.33</c:v>
                </c:pt>
                <c:pt idx="62">
                  <c:v>37.880000000000003</c:v>
                </c:pt>
                <c:pt idx="63">
                  <c:v>37.880000000000003</c:v>
                </c:pt>
                <c:pt idx="64">
                  <c:v>36.18</c:v>
                </c:pt>
                <c:pt idx="65">
                  <c:v>35.75</c:v>
                </c:pt>
                <c:pt idx="66">
                  <c:v>35.33</c:v>
                </c:pt>
                <c:pt idx="67">
                  <c:v>35.75</c:v>
                </c:pt>
                <c:pt idx="68">
                  <c:v>35.33</c:v>
                </c:pt>
                <c:pt idx="69">
                  <c:v>#N/A</c:v>
                </c:pt>
              </c:numCache>
            </c:numRef>
          </c:val>
          <c:smooth val="1"/>
          <c:extLst>
            <c:ext xmlns:c16="http://schemas.microsoft.com/office/drawing/2014/chart" uri="{C3380CC4-5D6E-409C-BE32-E72D297353CC}">
              <c16:uniqueId val="{0000002E-0259-49C7-B09C-49CD6FAA54ED}"/>
            </c:ext>
          </c:extLst>
        </c:ser>
        <c:ser>
          <c:idx val="47"/>
          <c:order val="47"/>
          <c:tx>
            <c:strRef>
              <c:f>'Top 50 (Pop &gt;100K)'!$AW$65</c:f>
              <c:strCache>
                <c:ptCount val="1"/>
                <c:pt idx="0">
                  <c:v>Sevier, TN</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&gt;100K)'!$AW$66:$AW$135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F-0259-49C7-B09C-49CD6FAA54ED}"/>
            </c:ext>
          </c:extLst>
        </c:ser>
        <c:ser>
          <c:idx val="48"/>
          <c:order val="48"/>
          <c:tx>
            <c:strRef>
              <c:f>'Top 50 (Pop &gt;100K)'!$AX$65</c:f>
              <c:strCache>
                <c:ptCount val="1"/>
                <c:pt idx="0">
                  <c:v>Matanuska-Susitna Borough, AK</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&gt;100K)'!$AX$66:$AX$135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30-0259-49C7-B09C-49CD6FAA54ED}"/>
            </c:ext>
          </c:extLst>
        </c:ser>
        <c:ser>
          <c:idx val="49"/>
          <c:order val="49"/>
          <c:tx>
            <c:strRef>
              <c:f>'Top 50 (Pop &gt;100K)'!$AY$65</c:f>
              <c:strCache>
                <c:ptCount val="1"/>
                <c:pt idx="0">
                  <c:v>Escambia, FL</c:v>
                </c:pt>
              </c:strCache>
            </c:strRef>
          </c:tx>
          <c:spPr>
            <a:ln>
              <a:prstDash val="solid"/>
            </a:ln>
          </c:spPr>
          <c:marker>
            <c:symbol val="none"/>
          </c:marker>
          <c:cat>
            <c:strRef>
              <c:f>'Top 50 (Pop &gt;100K)'!$A$66:$A$135</c:f>
              <c:strCache>
                <c:ptCount val="70"/>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pt idx="69">
                  <c:v>Dec 2025</c:v>
                </c:pt>
              </c:strCache>
            </c:strRef>
          </c:cat>
          <c:val>
            <c:numRef>
              <c:f>'Top 50 (Pop &gt;100K)'!$AY$66:$AY$135</c:f>
              <c:numCache>
                <c:formatCode>0.0</c:formatCode>
                <c:ptCount val="7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31-0259-49C7-B09C-49CD6FAA54ED}"/>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t>12-month 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t>Overdose deaths per 100,000 (12-mo trailing)</a:t>
                </a:r>
              </a:p>
            </c:rich>
          </c:tx>
          <c:overlay val="1"/>
        </c:title>
        <c:numFmt formatCode="0.0" sourceLinked="1"/>
        <c:majorTickMark val="none"/>
        <c:minorTickMark val="none"/>
        <c:tickLblPos val="nextTo"/>
        <c:crossAx val="10"/>
        <c:crosses val="autoZero"/>
        <c:crossBetween val="between"/>
      </c:valAx>
    </c:plotArea>
    <c:legend>
      <c:legendPos val="r"/>
      <c:overlay val="1"/>
    </c:legend>
    <c:plotVisOnly val="1"/>
    <c:dispBlanksAs val="gap"/>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t>12-Month-Ending Overdose Rate per 100,000 — Full Ranking</a:t>
            </a:r>
          </a:p>
        </c:rich>
      </c:tx>
      <c:overlay val="1"/>
    </c:title>
    <c:autoTitleDeleted val="0"/>
    <c:plotArea>
      <c:layout/>
      <c:lineChart>
        <c:grouping val="standard"/>
        <c:varyColors val="1"/>
        <c:ser>
          <c:idx val="0"/>
          <c:order val="0"/>
          <c:tx>
            <c:strRef>
              <c:f>'Full Ranking'!$B$605</c:f>
              <c:strCache>
                <c:ptCount val="1"/>
                <c:pt idx="0">
                  <c:v>Gregg County</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Ranking'!$B$606:$B$675</c:f>
              <c:numCache>
                <c:formatCode>0.0</c:formatCode>
                <c:ptCount val="70"/>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numCache>
            </c:numRef>
          </c:val>
          <c:smooth val="1"/>
          <c:extLst>
            <c:ext xmlns:c16="http://schemas.microsoft.com/office/drawing/2014/chart" uri="{C3380CC4-5D6E-409C-BE32-E72D297353CC}">
              <c16:uniqueId val="{00000000-74D8-49DC-8408-92E865EF6BF1}"/>
            </c:ext>
          </c:extLst>
        </c:ser>
        <c:ser>
          <c:idx val="1"/>
          <c:order val="1"/>
          <c:tx>
            <c:strRef>
              <c:f>'Full Ranking'!$C$605</c:f>
              <c:strCache>
                <c:ptCount val="1"/>
                <c:pt idx="0">
                  <c:v>Texas</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Ranking'!$C$606:$C$675</c:f>
              <c:numCache>
                <c:formatCode>0.0</c:formatCode>
                <c:ptCount val="70"/>
                <c:pt idx="0" formatCode="General">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numCache>
            </c:numRef>
          </c:val>
          <c:smooth val="1"/>
          <c:extLst>
            <c:ext xmlns:c16="http://schemas.microsoft.com/office/drawing/2014/chart" uri="{C3380CC4-5D6E-409C-BE32-E72D297353CC}">
              <c16:uniqueId val="{00000001-74D8-49DC-8408-92E865EF6BF1}"/>
            </c:ext>
          </c:extLst>
        </c:ser>
        <c:ser>
          <c:idx val="2"/>
          <c:order val="2"/>
          <c:tx>
            <c:strRef>
              <c:f>'Full Ranking'!$D$605</c:f>
              <c:strCache>
                <c:ptCount val="1"/>
                <c:pt idx="0">
                  <c:v>126,679</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Ranking'!$D$606:$D$675</c:f>
              <c:numCache>
                <c:formatCode>0.0</c:formatCode>
                <c:ptCount val="70"/>
                <c:pt idx="0" formatCode="#,##0">
                  <c:v>0</c:v>
                </c:pt>
                <c:pt idx="1">
                  <c:v>88.67</c:v>
                </c:pt>
                <c:pt idx="2">
                  <c:v>89.03</c:v>
                </c:pt>
                <c:pt idx="3">
                  <c:v>93.67</c:v>
                </c:pt>
                <c:pt idx="4">
                  <c:v>97.25</c:v>
                </c:pt>
                <c:pt idx="5">
                  <c:v>104.4</c:v>
                </c:pt>
                <c:pt idx="6">
                  <c:v>107.62</c:v>
                </c:pt>
                <c:pt idx="7">
                  <c:v>108.33</c:v>
                </c:pt>
                <c:pt idx="8">
                  <c:v>105.83</c:v>
                </c:pt>
                <c:pt idx="9">
                  <c:v>102.97</c:v>
                </c:pt>
                <c:pt idx="10">
                  <c:v>105.47</c:v>
                </c:pt>
                <c:pt idx="11">
                  <c:v>107.97</c:v>
                </c:pt>
                <c:pt idx="12">
                  <c:v>106.54</c:v>
                </c:pt>
                <c:pt idx="13">
                  <c:v>104.76</c:v>
                </c:pt>
                <c:pt idx="14">
                  <c:v>105.47</c:v>
                </c:pt>
                <c:pt idx="15">
                  <c:v>102.97</c:v>
                </c:pt>
                <c:pt idx="16">
                  <c:v>101.9</c:v>
                </c:pt>
                <c:pt idx="17">
                  <c:v>102.97</c:v>
                </c:pt>
                <c:pt idx="18">
                  <c:v>104.76</c:v>
                </c:pt>
                <c:pt idx="19">
                  <c:v>104.04</c:v>
                </c:pt>
                <c:pt idx="20">
                  <c:v>104.76</c:v>
                </c:pt>
                <c:pt idx="21">
                  <c:v>106.54</c:v>
                </c:pt>
                <c:pt idx="22">
                  <c:v>104.04</c:v>
                </c:pt>
                <c:pt idx="23">
                  <c:v>102.61</c:v>
                </c:pt>
                <c:pt idx="24">
                  <c:v>101.54</c:v>
                </c:pt>
                <c:pt idx="25">
                  <c:v>104.04</c:v>
                </c:pt>
                <c:pt idx="26">
                  <c:v>104.04</c:v>
                </c:pt>
                <c:pt idx="27">
                  <c:v>107.26</c:v>
                </c:pt>
                <c:pt idx="28">
                  <c:v>104.04</c:v>
                </c:pt>
                <c:pt idx="29">
                  <c:v>100.11</c:v>
                </c:pt>
                <c:pt idx="30">
                  <c:v>99.75</c:v>
                </c:pt>
                <c:pt idx="31">
                  <c:v>103.33</c:v>
                </c:pt>
                <c:pt idx="32">
                  <c:v>105.83</c:v>
                </c:pt>
                <c:pt idx="33">
                  <c:v>110.12</c:v>
                </c:pt>
                <c:pt idx="34">
                  <c:v>111.19</c:v>
                </c:pt>
                <c:pt idx="35">
                  <c:v>110.84</c:v>
                </c:pt>
                <c:pt idx="36">
                  <c:v>111.19</c:v>
                </c:pt>
                <c:pt idx="37">
                  <c:v>113.34</c:v>
                </c:pt>
                <c:pt idx="38">
                  <c:v>116.56</c:v>
                </c:pt>
                <c:pt idx="39">
                  <c:v>118.34</c:v>
                </c:pt>
                <c:pt idx="40">
                  <c:v>120.13</c:v>
                </c:pt>
                <c:pt idx="41">
                  <c:v>121.56</c:v>
                </c:pt>
                <c:pt idx="42">
                  <c:v>122.28</c:v>
                </c:pt>
                <c:pt idx="43">
                  <c:v>116.2</c:v>
                </c:pt>
                <c:pt idx="44">
                  <c:v>115.13</c:v>
                </c:pt>
                <c:pt idx="45">
                  <c:v>113.34</c:v>
                </c:pt>
                <c:pt idx="46">
                  <c:v>110.84</c:v>
                </c:pt>
                <c:pt idx="47">
                  <c:v>110.12</c:v>
                </c:pt>
                <c:pt idx="48">
                  <c:v>109.05</c:v>
                </c:pt>
                <c:pt idx="49">
                  <c:v>106.9</c:v>
                </c:pt>
                <c:pt idx="50">
                  <c:v>100.82</c:v>
                </c:pt>
                <c:pt idx="51">
                  <c:v>94.39</c:v>
                </c:pt>
                <c:pt idx="52">
                  <c:v>92.96</c:v>
                </c:pt>
                <c:pt idx="53">
                  <c:v>84.38</c:v>
                </c:pt>
                <c:pt idx="54">
                  <c:v>77.94</c:v>
                </c:pt>
                <c:pt idx="55">
                  <c:v>79.37</c:v>
                </c:pt>
                <c:pt idx="56">
                  <c:v>74.010000000000005</c:v>
                </c:pt>
                <c:pt idx="57">
                  <c:v>67.930000000000007</c:v>
                </c:pt>
                <c:pt idx="58">
                  <c:v>68.650000000000006</c:v>
                </c:pt>
                <c:pt idx="59">
                  <c:v>67.22</c:v>
                </c:pt>
                <c:pt idx="60">
                  <c:v>65.069999999999993</c:v>
                </c:pt>
                <c:pt idx="61">
                  <c:v>60.78</c:v>
                </c:pt>
                <c:pt idx="62">
                  <c:v>64.709999999999994</c:v>
                </c:pt>
                <c:pt idx="63">
                  <c:v>66.14</c:v>
                </c:pt>
                <c:pt idx="64">
                  <c:v>64</c:v>
                </c:pt>
                <c:pt idx="65">
                  <c:v>65.069999999999993</c:v>
                </c:pt>
                <c:pt idx="66">
                  <c:v>67.22</c:v>
                </c:pt>
                <c:pt idx="67">
                  <c:v>66.5</c:v>
                </c:pt>
                <c:pt idx="68">
                  <c:v>66.14</c:v>
                </c:pt>
                <c:pt idx="69">
                  <c:v>64.36</c:v>
                </c:pt>
              </c:numCache>
            </c:numRef>
          </c:val>
          <c:smooth val="1"/>
          <c:extLst>
            <c:ext xmlns:c16="http://schemas.microsoft.com/office/drawing/2014/chart" uri="{C3380CC4-5D6E-409C-BE32-E72D297353CC}">
              <c16:uniqueId val="{00000002-74D8-49DC-8408-92E865EF6BF1}"/>
            </c:ext>
          </c:extLst>
        </c:ser>
        <c:ser>
          <c:idx val="3"/>
          <c:order val="3"/>
          <c:tx>
            <c:strRef>
              <c:f>'Full Ranking'!$E$605</c:f>
              <c:strCache>
                <c:ptCount val="1"/>
                <c:pt idx="0">
                  <c:v>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Ranking'!$E$606:$E$675</c:f>
              <c:numCache>
                <c:formatCode>0.0</c:formatCode>
                <c:ptCount val="70"/>
                <c:pt idx="0" formatCode="#,##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3-74D8-49DC-8408-92E865EF6BF1}"/>
            </c:ext>
          </c:extLst>
        </c:ser>
        <c:ser>
          <c:idx val="4"/>
          <c:order val="4"/>
          <c:tx>
            <c:strRef>
              <c:f>'Full Ranking'!$F$605</c:f>
              <c:strCache>
                <c:ptCount val="1"/>
                <c:pt idx="0">
                  <c:v>100000.0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Ranking'!$F$606:$F$675</c:f>
              <c:numCache>
                <c:formatCode>0.0</c:formatCode>
                <c:ptCount val="70"/>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4-74D8-49DC-8408-92E865EF6BF1}"/>
            </c:ext>
          </c:extLst>
        </c:ser>
        <c:ser>
          <c:idx val="5"/>
          <c:order val="5"/>
          <c:tx>
            <c:strRef>
              <c:f>'Full Ranking'!$G$605</c:f>
              <c:strCache>
                <c:ptCount val="1"/>
                <c:pt idx="0">
                  <c:v>0.07%</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Ranking'!$G$606:$G$675</c:f>
              <c:numCache>
                <c:formatCode>0.0</c:formatCode>
                <c:ptCount val="70"/>
                <c:pt idx="0" formatCode="0.00&quot;%&quot;">
                  <c:v>0</c:v>
                </c:pt>
                <c:pt idx="1">
                  <c:v>14.93</c:v>
                </c:pt>
                <c:pt idx="2">
                  <c:v>15.29</c:v>
                </c:pt>
                <c:pt idx="3">
                  <c:v>15.83</c:v>
                </c:pt>
                <c:pt idx="4">
                  <c:v>16.010000000000002</c:v>
                </c:pt>
                <c:pt idx="5">
                  <c:v>15.29</c:v>
                </c:pt>
                <c:pt idx="6">
                  <c:v>16.37</c:v>
                </c:pt>
                <c:pt idx="7">
                  <c:v>16.55</c:v>
                </c:pt>
                <c:pt idx="8">
                  <c:v>16.91</c:v>
                </c:pt>
                <c:pt idx="9">
                  <c:v>16.55</c:v>
                </c:pt>
                <c:pt idx="10">
                  <c:v>17.09</c:v>
                </c:pt>
                <c:pt idx="11">
                  <c:v>17.809999999999999</c:v>
                </c:pt>
                <c:pt idx="12">
                  <c:v>18.53</c:v>
                </c:pt>
                <c:pt idx="13">
                  <c:v>17.63</c:v>
                </c:pt>
                <c:pt idx="14">
                  <c:v>17.45</c:v>
                </c:pt>
                <c:pt idx="15">
                  <c:v>18.71</c:v>
                </c:pt>
                <c:pt idx="16">
                  <c:v>19.79</c:v>
                </c:pt>
                <c:pt idx="17">
                  <c:v>19.61</c:v>
                </c:pt>
                <c:pt idx="18">
                  <c:v>19.97</c:v>
                </c:pt>
                <c:pt idx="19">
                  <c:v>23.38</c:v>
                </c:pt>
                <c:pt idx="20">
                  <c:v>25.18</c:v>
                </c:pt>
                <c:pt idx="21">
                  <c:v>27.88</c:v>
                </c:pt>
                <c:pt idx="22">
                  <c:v>30.4</c:v>
                </c:pt>
                <c:pt idx="23">
                  <c:v>32.020000000000003</c:v>
                </c:pt>
                <c:pt idx="24">
                  <c:v>33.1</c:v>
                </c:pt>
                <c:pt idx="25">
                  <c:v>34.72</c:v>
                </c:pt>
                <c:pt idx="26">
                  <c:v>36.69</c:v>
                </c:pt>
                <c:pt idx="27">
                  <c:v>38.49</c:v>
                </c:pt>
                <c:pt idx="28">
                  <c:v>38.67</c:v>
                </c:pt>
                <c:pt idx="29">
                  <c:v>40.47</c:v>
                </c:pt>
                <c:pt idx="30">
                  <c:v>41.37</c:v>
                </c:pt>
                <c:pt idx="31">
                  <c:v>40.11</c:v>
                </c:pt>
                <c:pt idx="32">
                  <c:v>39.39</c:v>
                </c:pt>
                <c:pt idx="33">
                  <c:v>38.31</c:v>
                </c:pt>
                <c:pt idx="34">
                  <c:v>38.49</c:v>
                </c:pt>
                <c:pt idx="35">
                  <c:v>38.49</c:v>
                </c:pt>
                <c:pt idx="36">
                  <c:v>38.85</c:v>
                </c:pt>
                <c:pt idx="37">
                  <c:v>39.57</c:v>
                </c:pt>
                <c:pt idx="38">
                  <c:v>40.11</c:v>
                </c:pt>
                <c:pt idx="39">
                  <c:v>39.39</c:v>
                </c:pt>
                <c:pt idx="40">
                  <c:v>39.93</c:v>
                </c:pt>
                <c:pt idx="41">
                  <c:v>40.11</c:v>
                </c:pt>
                <c:pt idx="42">
                  <c:v>40.29</c:v>
                </c:pt>
                <c:pt idx="43">
                  <c:v>41.73</c:v>
                </c:pt>
                <c:pt idx="44">
                  <c:v>42.45</c:v>
                </c:pt>
                <c:pt idx="45">
                  <c:v>42.99</c:v>
                </c:pt>
                <c:pt idx="46">
                  <c:v>41.01</c:v>
                </c:pt>
                <c:pt idx="47">
                  <c:v>40.65</c:v>
                </c:pt>
                <c:pt idx="48">
                  <c:v>41.91</c:v>
                </c:pt>
                <c:pt idx="49">
                  <c:v>42.63</c:v>
                </c:pt>
                <c:pt idx="50">
                  <c:v>44.25</c:v>
                </c:pt>
                <c:pt idx="51">
                  <c:v>45.87</c:v>
                </c:pt>
                <c:pt idx="52">
                  <c:v>47.85</c:v>
                </c:pt>
                <c:pt idx="53">
                  <c:v>49.11</c:v>
                </c:pt>
                <c:pt idx="54">
                  <c:v>50.54</c:v>
                </c:pt>
                <c:pt idx="55">
                  <c:v>51.08</c:v>
                </c:pt>
                <c:pt idx="56">
                  <c:v>51.08</c:v>
                </c:pt>
                <c:pt idx="57">
                  <c:v>52.88</c:v>
                </c:pt>
                <c:pt idx="58">
                  <c:v>55.4</c:v>
                </c:pt>
                <c:pt idx="59">
                  <c:v>56.12</c:v>
                </c:pt>
                <c:pt idx="60">
                  <c:v>56.84</c:v>
                </c:pt>
                <c:pt idx="61">
                  <c:v>59.36</c:v>
                </c:pt>
                <c:pt idx="62">
                  <c:v>59.36</c:v>
                </c:pt>
                <c:pt idx="63">
                  <c:v>59.72</c:v>
                </c:pt>
                <c:pt idx="64">
                  <c:v>59.54</c:v>
                </c:pt>
                <c:pt idx="65">
                  <c:v>58.64</c:v>
                </c:pt>
                <c:pt idx="66">
                  <c:v>57.56</c:v>
                </c:pt>
                <c:pt idx="67">
                  <c:v>58.28</c:v>
                </c:pt>
                <c:pt idx="68">
                  <c:v>59.54</c:v>
                </c:pt>
                <c:pt idx="69">
                  <c:v>57.92</c:v>
                </c:pt>
              </c:numCache>
            </c:numRef>
          </c:val>
          <c:smooth val="1"/>
          <c:extLst>
            <c:ext xmlns:c16="http://schemas.microsoft.com/office/drawing/2014/chart" uri="{C3380CC4-5D6E-409C-BE32-E72D297353CC}">
              <c16:uniqueId val="{00000005-74D8-49DC-8408-92E865EF6BF1}"/>
            </c:ext>
          </c:extLst>
        </c:ser>
        <c:ser>
          <c:idx val="6"/>
          <c:order val="6"/>
          <c:tx>
            <c:strRef>
              <c:f>'Full Ranking'!$H$605</c:f>
              <c:strCache>
                <c:ptCount val="1"/>
                <c:pt idx="0">
                  <c:v>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Ranking'!$H$606:$H$675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06-74D8-49DC-8408-92E865EF6BF1}"/>
            </c:ext>
          </c:extLst>
        </c:ser>
        <c:ser>
          <c:idx val="7"/>
          <c:order val="7"/>
          <c:tx>
            <c:strRef>
              <c:f>'Full Ranking'!$I$605</c:f>
              <c:strCache>
                <c:ptCount val="1"/>
                <c:pt idx="0">
                  <c:v>10.5</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Ranking'!$I$606:$I$675</c:f>
              <c:numCache>
                <c:formatCode>0.0</c:formatCode>
                <c:ptCount val="70"/>
                <c:pt idx="0">
                  <c:v>15.6</c:v>
                </c:pt>
                <c:pt idx="1">
                  <c:v>8.8000000000000007</c:v>
                </c:pt>
                <c:pt idx="2">
                  <c:v>12.1</c:v>
                </c:pt>
                <c:pt idx="4">
                  <c:v>24.6</c:v>
                </c:pt>
                <c:pt idx="7">
                  <c:v>14.1</c:v>
                </c:pt>
                <c:pt idx="8">
                  <c:v>12.4</c:v>
                </c:pt>
                <c:pt idx="9">
                  <c:v>16.100000000000001</c:v>
                </c:pt>
                <c:pt idx="10">
                  <c:v>8.3000000000000007</c:v>
                </c:pt>
                <c:pt idx="11">
                  <c:v>16.5</c:v>
                </c:pt>
                <c:pt idx="14">
                  <c:v>11.7</c:v>
                </c:pt>
                <c:pt idx="15">
                  <c:v>7.5</c:v>
                </c:pt>
                <c:pt idx="16">
                  <c:v>12.8</c:v>
                </c:pt>
                <c:pt idx="17">
                  <c:v>14.8</c:v>
                </c:pt>
                <c:pt idx="18">
                  <c:v>26.7</c:v>
                </c:pt>
                <c:pt idx="20">
                  <c:v>7.8</c:v>
                </c:pt>
                <c:pt idx="21">
                  <c:v>42.51</c:v>
                </c:pt>
                <c:pt idx="22">
                  <c:v>45.03</c:v>
                </c:pt>
                <c:pt idx="23">
                  <c:v>45.83</c:v>
                </c:pt>
                <c:pt idx="24">
                  <c:v>45.96</c:v>
                </c:pt>
                <c:pt idx="25">
                  <c:v>46.36</c:v>
                </c:pt>
                <c:pt idx="26">
                  <c:v>47.69</c:v>
                </c:pt>
                <c:pt idx="27">
                  <c:v>47.16</c:v>
                </c:pt>
                <c:pt idx="28">
                  <c:v>46.63</c:v>
                </c:pt>
                <c:pt idx="29">
                  <c:v>47.16</c:v>
                </c:pt>
                <c:pt idx="30">
                  <c:v>47.29</c:v>
                </c:pt>
                <c:pt idx="31">
                  <c:v>45.7</c:v>
                </c:pt>
                <c:pt idx="32">
                  <c:v>46.1</c:v>
                </c:pt>
                <c:pt idx="33">
                  <c:v>45.17</c:v>
                </c:pt>
                <c:pt idx="34">
                  <c:v>44.9</c:v>
                </c:pt>
                <c:pt idx="35">
                  <c:v>47.42</c:v>
                </c:pt>
                <c:pt idx="36">
                  <c:v>49.55</c:v>
                </c:pt>
                <c:pt idx="37">
                  <c:v>49.55</c:v>
                </c:pt>
                <c:pt idx="38">
                  <c:v>49.42</c:v>
                </c:pt>
                <c:pt idx="39">
                  <c:v>50.08</c:v>
                </c:pt>
                <c:pt idx="40">
                  <c:v>51.68</c:v>
                </c:pt>
                <c:pt idx="41">
                  <c:v>51.81</c:v>
                </c:pt>
                <c:pt idx="42">
                  <c:v>53.67</c:v>
                </c:pt>
                <c:pt idx="43">
                  <c:v>54.33</c:v>
                </c:pt>
                <c:pt idx="44">
                  <c:v>55.79</c:v>
                </c:pt>
                <c:pt idx="45">
                  <c:v>57.65</c:v>
                </c:pt>
                <c:pt idx="46">
                  <c:v>59.25</c:v>
                </c:pt>
                <c:pt idx="47">
                  <c:v>58.45</c:v>
                </c:pt>
                <c:pt idx="48">
                  <c:v>57.12</c:v>
                </c:pt>
                <c:pt idx="49">
                  <c:v>57.39</c:v>
                </c:pt>
                <c:pt idx="50">
                  <c:v>58.05</c:v>
                </c:pt>
                <c:pt idx="51">
                  <c:v>58.72</c:v>
                </c:pt>
                <c:pt idx="52">
                  <c:v>57.12</c:v>
                </c:pt>
                <c:pt idx="53">
                  <c:v>56.59</c:v>
                </c:pt>
                <c:pt idx="54">
                  <c:v>56.06</c:v>
                </c:pt>
                <c:pt idx="55">
                  <c:v>54.6</c:v>
                </c:pt>
                <c:pt idx="56">
                  <c:v>51.01</c:v>
                </c:pt>
                <c:pt idx="57">
                  <c:v>48.22</c:v>
                </c:pt>
                <c:pt idx="58">
                  <c:v>46.76</c:v>
                </c:pt>
                <c:pt idx="59">
                  <c:v>45.83</c:v>
                </c:pt>
                <c:pt idx="60">
                  <c:v>46.76</c:v>
                </c:pt>
                <c:pt idx="61">
                  <c:v>46.36</c:v>
                </c:pt>
                <c:pt idx="62">
                  <c:v>46.36</c:v>
                </c:pt>
                <c:pt idx="63">
                  <c:v>48.35</c:v>
                </c:pt>
                <c:pt idx="64">
                  <c:v>49.68</c:v>
                </c:pt>
                <c:pt idx="65">
                  <c:v>50.48</c:v>
                </c:pt>
                <c:pt idx="66">
                  <c:v>49.42</c:v>
                </c:pt>
                <c:pt idx="67">
                  <c:v>51.94</c:v>
                </c:pt>
                <c:pt idx="68">
                  <c:v>53.67</c:v>
                </c:pt>
                <c:pt idx="69">
                  <c:v>55.4</c:v>
                </c:pt>
              </c:numCache>
            </c:numRef>
          </c:val>
          <c:smooth val="1"/>
          <c:extLst>
            <c:ext xmlns:c16="http://schemas.microsoft.com/office/drawing/2014/chart" uri="{C3380CC4-5D6E-409C-BE32-E72D297353CC}">
              <c16:uniqueId val="{00000007-74D8-49DC-8408-92E865EF6BF1}"/>
            </c:ext>
          </c:extLst>
        </c:ser>
        <c:ser>
          <c:idx val="8"/>
          <c:order val="8"/>
          <c:tx>
            <c:strRef>
              <c:f>'Full Ranking'!$J$605</c:f>
              <c:strCache>
                <c:ptCount val="1"/>
                <c:pt idx="0">
                  <c:v>10.9</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Ranking'!$J$606:$J$675</c:f>
              <c:numCache>
                <c:formatCode>0.0</c:formatCode>
                <c:ptCount val="70"/>
                <c:pt idx="0">
                  <c:v>16.3</c:v>
                </c:pt>
                <c:pt idx="1">
                  <c:v>9.1999999999999993</c:v>
                </c:pt>
                <c:pt idx="2">
                  <c:v>12.7</c:v>
                </c:pt>
                <c:pt idx="4">
                  <c:v>25.7</c:v>
                </c:pt>
                <c:pt idx="7">
                  <c:v>14.7</c:v>
                </c:pt>
                <c:pt idx="8">
                  <c:v>13</c:v>
                </c:pt>
                <c:pt idx="9">
                  <c:v>16.8</c:v>
                </c:pt>
                <c:pt idx="10">
                  <c:v>8.6</c:v>
                </c:pt>
                <c:pt idx="11">
                  <c:v>17.2</c:v>
                </c:pt>
                <c:pt idx="14">
                  <c:v>12.2</c:v>
                </c:pt>
                <c:pt idx="15">
                  <c:v>7.8</c:v>
                </c:pt>
                <c:pt idx="16">
                  <c:v>13.4</c:v>
                </c:pt>
                <c:pt idx="17">
                  <c:v>15.5</c:v>
                </c:pt>
                <c:pt idx="18">
                  <c:v>27.9</c:v>
                </c:pt>
                <c:pt idx="20">
                  <c:v>8.1999999999999993</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62.9</c:v>
                </c:pt>
                <c:pt idx="58">
                  <c:v>62.39</c:v>
                </c:pt>
                <c:pt idx="59">
                  <c:v>60.74</c:v>
                </c:pt>
                <c:pt idx="60">
                  <c:v>59.53</c:v>
                </c:pt>
                <c:pt idx="61">
                  <c:v>58.96</c:v>
                </c:pt>
                <c:pt idx="62">
                  <c:v>58.33</c:v>
                </c:pt>
                <c:pt idx="63">
                  <c:v>57.94</c:v>
                </c:pt>
                <c:pt idx="64">
                  <c:v>58.26</c:v>
                </c:pt>
                <c:pt idx="65">
                  <c:v>59.41</c:v>
                </c:pt>
                <c:pt idx="66">
                  <c:v>58.9</c:v>
                </c:pt>
                <c:pt idx="67">
                  <c:v>56.55</c:v>
                </c:pt>
                <c:pt idx="68">
                  <c:v>55.85</c:v>
                </c:pt>
                <c:pt idx="69">
                  <c:v>55.28</c:v>
                </c:pt>
              </c:numCache>
            </c:numRef>
          </c:val>
          <c:smooth val="1"/>
          <c:extLst>
            <c:ext xmlns:c16="http://schemas.microsoft.com/office/drawing/2014/chart" uri="{C3380CC4-5D6E-409C-BE32-E72D297353CC}">
              <c16:uniqueId val="{00000008-74D8-49DC-8408-92E865EF6BF1}"/>
            </c:ext>
          </c:extLst>
        </c:ser>
        <c:ser>
          <c:idx val="9"/>
          <c:order val="9"/>
          <c:tx>
            <c:strRef>
              <c:f>'Full Ranking'!$K$605</c:f>
              <c:strCache>
                <c:ptCount val="1"/>
                <c:pt idx="0">
                  <c:v>19</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Ranking'!$K$606:$K$675</c:f>
              <c:numCache>
                <c:formatCode>#,##0</c:formatCode>
                <c:ptCount val="70"/>
                <c:pt idx="0">
                  <c:v>21</c:v>
                </c:pt>
                <c:pt idx="1">
                  <c:v>17</c:v>
                </c:pt>
                <c:pt idx="7">
                  <c:v>10</c:v>
                </c:pt>
                <c:pt idx="8">
                  <c:v>17</c:v>
                </c:pt>
                <c:pt idx="10">
                  <c:v>14</c:v>
                </c:pt>
                <c:pt idx="11">
                  <c:v>22</c:v>
                </c:pt>
                <c:pt idx="16">
                  <c:v>12</c:v>
                </c:pt>
                <c:pt idx="17">
                  <c:v>17</c:v>
                </c:pt>
                <c:pt idx="18">
                  <c:v>141</c:v>
                </c:pt>
                <c:pt idx="20">
                  <c:v>13</c:v>
                </c:pt>
                <c:pt idx="21" formatCode="0.0">
                  <c:v>42.47</c:v>
                </c:pt>
                <c:pt idx="22" formatCode="0.0">
                  <c:v>43.85</c:v>
                </c:pt>
                <c:pt idx="23" formatCode="0.0">
                  <c:v>43.47</c:v>
                </c:pt>
                <c:pt idx="24" formatCode="0.0">
                  <c:v>45.23</c:v>
                </c:pt>
                <c:pt idx="25" formatCode="0.0">
                  <c:v>47.12</c:v>
                </c:pt>
                <c:pt idx="26" formatCode="0.0">
                  <c:v>49.13</c:v>
                </c:pt>
                <c:pt idx="27" formatCode="0.0">
                  <c:v>49.63</c:v>
                </c:pt>
                <c:pt idx="28" formatCode="0.0">
                  <c:v>48.5</c:v>
                </c:pt>
                <c:pt idx="29" formatCode="0.0">
                  <c:v>47.74</c:v>
                </c:pt>
                <c:pt idx="30" formatCode="0.0">
                  <c:v>47.49</c:v>
                </c:pt>
                <c:pt idx="31" formatCode="0.0">
                  <c:v>47.62</c:v>
                </c:pt>
                <c:pt idx="32" formatCode="0.0">
                  <c:v>49.25</c:v>
                </c:pt>
                <c:pt idx="33" formatCode="0.0">
                  <c:v>48.75</c:v>
                </c:pt>
                <c:pt idx="34" formatCode="0.0">
                  <c:v>48.88</c:v>
                </c:pt>
                <c:pt idx="35" formatCode="0.0">
                  <c:v>50.89</c:v>
                </c:pt>
                <c:pt idx="36" formatCode="0.0">
                  <c:v>53.78</c:v>
                </c:pt>
                <c:pt idx="37" formatCode="0.0">
                  <c:v>55.03</c:v>
                </c:pt>
                <c:pt idx="38" formatCode="0.0">
                  <c:v>55.79</c:v>
                </c:pt>
                <c:pt idx="39" formatCode="0.0">
                  <c:v>59.43</c:v>
                </c:pt>
                <c:pt idx="40" formatCode="0.0">
                  <c:v>60.31</c:v>
                </c:pt>
                <c:pt idx="41" formatCode="0.0">
                  <c:v>63.07</c:v>
                </c:pt>
                <c:pt idx="42" formatCode="0.0">
                  <c:v>67.849999999999994</c:v>
                </c:pt>
                <c:pt idx="43" formatCode="0.0">
                  <c:v>71.37</c:v>
                </c:pt>
                <c:pt idx="44" formatCode="0.0">
                  <c:v>74.260000000000005</c:v>
                </c:pt>
                <c:pt idx="45" formatCode="0.0">
                  <c:v>77.52</c:v>
                </c:pt>
                <c:pt idx="46" formatCode="0.0">
                  <c:v>81.67</c:v>
                </c:pt>
                <c:pt idx="47" formatCode="0.0">
                  <c:v>79.78</c:v>
                </c:pt>
                <c:pt idx="48" formatCode="0.0">
                  <c:v>80.040000000000006</c:v>
                </c:pt>
                <c:pt idx="49" formatCode="0.0">
                  <c:v>83.93</c:v>
                </c:pt>
                <c:pt idx="50" formatCode="0.0">
                  <c:v>84.56</c:v>
                </c:pt>
                <c:pt idx="51" formatCode="0.0">
                  <c:v>84.06</c:v>
                </c:pt>
                <c:pt idx="52" formatCode="0.0">
                  <c:v>86.19</c:v>
                </c:pt>
                <c:pt idx="53" formatCode="0.0">
                  <c:v>85.56</c:v>
                </c:pt>
                <c:pt idx="54" formatCode="0.0">
                  <c:v>82.67</c:v>
                </c:pt>
                <c:pt idx="55" formatCode="0.0">
                  <c:v>77.900000000000006</c:v>
                </c:pt>
                <c:pt idx="56" formatCode="0.0">
                  <c:v>74.13</c:v>
                </c:pt>
                <c:pt idx="57" formatCode="0.0">
                  <c:v>69.98</c:v>
                </c:pt>
                <c:pt idx="58" formatCode="0.0">
                  <c:v>66.47</c:v>
                </c:pt>
                <c:pt idx="59" formatCode="0.0">
                  <c:v>68.599999999999994</c:v>
                </c:pt>
                <c:pt idx="60" formatCode="0.0">
                  <c:v>67.22</c:v>
                </c:pt>
                <c:pt idx="61" formatCode="0.0">
                  <c:v>63.32</c:v>
                </c:pt>
                <c:pt idx="62" formatCode="0.0">
                  <c:v>62.7</c:v>
                </c:pt>
                <c:pt idx="63" formatCode="0.0">
                  <c:v>62.07</c:v>
                </c:pt>
                <c:pt idx="64" formatCode="0.0">
                  <c:v>61.69</c:v>
                </c:pt>
                <c:pt idx="65" formatCode="0.0">
                  <c:v>59.56</c:v>
                </c:pt>
                <c:pt idx="66" formatCode="0.0">
                  <c:v>58.8</c:v>
                </c:pt>
                <c:pt idx="67" formatCode="0.0">
                  <c:v>59.56</c:v>
                </c:pt>
                <c:pt idx="68" formatCode="0.0">
                  <c:v>56.54</c:v>
                </c:pt>
                <c:pt idx="69" formatCode="0.0">
                  <c:v>53.15</c:v>
                </c:pt>
              </c:numCache>
            </c:numRef>
          </c:val>
          <c:smooth val="1"/>
          <c:extLst>
            <c:ext xmlns:c16="http://schemas.microsoft.com/office/drawing/2014/chart" uri="{C3380CC4-5D6E-409C-BE32-E72D297353CC}">
              <c16:uniqueId val="{00000009-74D8-49DC-8408-92E865EF6BF1}"/>
            </c:ext>
          </c:extLst>
        </c:ser>
        <c:ser>
          <c:idx val="10"/>
          <c:order val="10"/>
          <c:tx>
            <c:strRef>
              <c:f>'Full Ranking'!$L$605</c:f>
              <c:strCache>
                <c:ptCount val="1"/>
                <c:pt idx="0">
                  <c:v>19</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Ranking'!$L$606:$L$675</c:f>
              <c:numCache>
                <c:formatCode>#,##0</c:formatCode>
                <c:ptCount val="70"/>
                <c:pt idx="0">
                  <c:v>20</c:v>
                </c:pt>
                <c:pt idx="1">
                  <c:v>16</c:v>
                </c:pt>
                <c:pt idx="7">
                  <c:v>13</c:v>
                </c:pt>
                <c:pt idx="8">
                  <c:v>18</c:v>
                </c:pt>
                <c:pt idx="10">
                  <c:v>18</c:v>
                </c:pt>
                <c:pt idx="11">
                  <c:v>23</c:v>
                </c:pt>
                <c:pt idx="16">
                  <c:v>13</c:v>
                </c:pt>
                <c:pt idx="17">
                  <c:v>20</c:v>
                </c:pt>
                <c:pt idx="18">
                  <c:v>154</c:v>
                </c:pt>
                <c:pt idx="20">
                  <c:v>10</c:v>
                </c:pt>
                <c:pt idx="21" formatCode="0.0">
                  <c:v>50.48</c:v>
                </c:pt>
                <c:pt idx="22" formatCode="0.0">
                  <c:v>49.79</c:v>
                </c:pt>
                <c:pt idx="23" formatCode="0.0">
                  <c:v>50.07</c:v>
                </c:pt>
                <c:pt idx="24" formatCode="0.0">
                  <c:v>49.93</c:v>
                </c:pt>
                <c:pt idx="25" formatCode="0.0">
                  <c:v>48.42</c:v>
                </c:pt>
                <c:pt idx="26" formatCode="0.0">
                  <c:v>48.7</c:v>
                </c:pt>
                <c:pt idx="27" formatCode="0.0">
                  <c:v>48.97</c:v>
                </c:pt>
                <c:pt idx="28" formatCode="0.0">
                  <c:v>48.97</c:v>
                </c:pt>
                <c:pt idx="29" formatCode="0.0">
                  <c:v>48.28</c:v>
                </c:pt>
                <c:pt idx="30" formatCode="0.0">
                  <c:v>44.72</c:v>
                </c:pt>
                <c:pt idx="31" formatCode="0.0">
                  <c:v>43.35</c:v>
                </c:pt>
                <c:pt idx="32" formatCode="0.0">
                  <c:v>39.92</c:v>
                </c:pt>
                <c:pt idx="33" formatCode="0.0">
                  <c:v>39.64</c:v>
                </c:pt>
                <c:pt idx="34" formatCode="0.0">
                  <c:v>40.19</c:v>
                </c:pt>
                <c:pt idx="35" formatCode="0.0">
                  <c:v>40.74</c:v>
                </c:pt>
                <c:pt idx="36" formatCode="0.0">
                  <c:v>41.01</c:v>
                </c:pt>
                <c:pt idx="37" formatCode="0.0">
                  <c:v>40.47</c:v>
                </c:pt>
                <c:pt idx="38" formatCode="0.0">
                  <c:v>41.01</c:v>
                </c:pt>
                <c:pt idx="39" formatCode="0.0">
                  <c:v>40.47</c:v>
                </c:pt>
                <c:pt idx="40" formatCode="0.0">
                  <c:v>40.880000000000003</c:v>
                </c:pt>
                <c:pt idx="41" formatCode="0.0">
                  <c:v>41.7</c:v>
                </c:pt>
                <c:pt idx="42" formatCode="0.0">
                  <c:v>42.52</c:v>
                </c:pt>
                <c:pt idx="43" formatCode="0.0">
                  <c:v>43.07</c:v>
                </c:pt>
                <c:pt idx="44" formatCode="0.0">
                  <c:v>45.27</c:v>
                </c:pt>
                <c:pt idx="45" formatCode="0.0">
                  <c:v>45.27</c:v>
                </c:pt>
                <c:pt idx="46" formatCode="0.0">
                  <c:v>45.81</c:v>
                </c:pt>
                <c:pt idx="47" formatCode="0.0">
                  <c:v>47.87</c:v>
                </c:pt>
                <c:pt idx="48" formatCode="0.0">
                  <c:v>48.7</c:v>
                </c:pt>
                <c:pt idx="49" formatCode="0.0">
                  <c:v>48.56</c:v>
                </c:pt>
                <c:pt idx="50" formatCode="0.0">
                  <c:v>49.38</c:v>
                </c:pt>
                <c:pt idx="51" formatCode="0.0">
                  <c:v>49.52</c:v>
                </c:pt>
                <c:pt idx="52" formatCode="0.0">
                  <c:v>49.79</c:v>
                </c:pt>
                <c:pt idx="53" formatCode="0.0">
                  <c:v>48.97</c:v>
                </c:pt>
                <c:pt idx="54" formatCode="0.0">
                  <c:v>49.24</c:v>
                </c:pt>
                <c:pt idx="55" formatCode="0.0">
                  <c:v>50.48</c:v>
                </c:pt>
                <c:pt idx="56" formatCode="0.0">
                  <c:v>48.83</c:v>
                </c:pt>
                <c:pt idx="57" formatCode="0.0">
                  <c:v>47.6</c:v>
                </c:pt>
                <c:pt idx="58" formatCode="0.0">
                  <c:v>46.64</c:v>
                </c:pt>
                <c:pt idx="59" formatCode="0.0">
                  <c:v>44.44</c:v>
                </c:pt>
                <c:pt idx="60" formatCode="0.0">
                  <c:v>44.31</c:v>
                </c:pt>
                <c:pt idx="61" formatCode="0.0">
                  <c:v>45.81</c:v>
                </c:pt>
                <c:pt idx="62" formatCode="0.0">
                  <c:v>44.72</c:v>
                </c:pt>
                <c:pt idx="63" formatCode="0.0">
                  <c:v>46.36</c:v>
                </c:pt>
                <c:pt idx="64" formatCode="0.0">
                  <c:v>47.74</c:v>
                </c:pt>
                <c:pt idx="65" formatCode="0.0">
                  <c:v>49.24</c:v>
                </c:pt>
                <c:pt idx="66" formatCode="0.0">
                  <c:v>49.79</c:v>
                </c:pt>
                <c:pt idx="67" formatCode="0.0">
                  <c:v>48.42</c:v>
                </c:pt>
                <c:pt idx="68" formatCode="0.0">
                  <c:v>49.52</c:v>
                </c:pt>
                <c:pt idx="69" formatCode="0.0">
                  <c:v>50.75</c:v>
                </c:pt>
              </c:numCache>
            </c:numRef>
          </c:val>
          <c:smooth val="1"/>
          <c:extLst>
            <c:ext xmlns:c16="http://schemas.microsoft.com/office/drawing/2014/chart" uri="{C3380CC4-5D6E-409C-BE32-E72D297353CC}">
              <c16:uniqueId val="{0000000A-74D8-49DC-8408-92E865EF6BF1}"/>
            </c:ext>
          </c:extLst>
        </c:ser>
        <c:ser>
          <c:idx val="11"/>
          <c:order val="11"/>
          <c:tx>
            <c:strRef>
              <c:f>'Full Ranking'!$M$605</c:f>
              <c:strCache>
                <c:ptCount val="1"/>
                <c:pt idx="0">
                  <c:v>14</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Ranking'!$M$606:$M$675</c:f>
              <c:numCache>
                <c:formatCode>#,##0</c:formatCode>
                <c:ptCount val="70"/>
                <c:pt idx="0">
                  <c:v>27</c:v>
                </c:pt>
                <c:pt idx="1">
                  <c:v>20</c:v>
                </c:pt>
                <c:pt idx="7">
                  <c:v>10</c:v>
                </c:pt>
                <c:pt idx="8">
                  <c:v>20</c:v>
                </c:pt>
                <c:pt idx="9">
                  <c:v>12</c:v>
                </c:pt>
                <c:pt idx="10">
                  <c:v>21</c:v>
                </c:pt>
                <c:pt idx="11">
                  <c:v>25</c:v>
                </c:pt>
                <c:pt idx="14">
                  <c:v>11</c:v>
                </c:pt>
                <c:pt idx="15">
                  <c:v>11</c:v>
                </c:pt>
                <c:pt idx="16">
                  <c:v>12</c:v>
                </c:pt>
                <c:pt idx="17">
                  <c:v>21</c:v>
                </c:pt>
                <c:pt idx="18">
                  <c:v>151</c:v>
                </c:pt>
                <c:pt idx="20">
                  <c:v>11</c:v>
                </c:pt>
                <c:pt idx="21" formatCode="0.0">
                  <c:v>102.84</c:v>
                </c:pt>
                <c:pt idx="22" formatCode="0.0">
                  <c:v>105.87</c:v>
                </c:pt>
                <c:pt idx="23" formatCode="0.0">
                  <c:v>108.35</c:v>
                </c:pt>
                <c:pt idx="24" formatCode="0.0">
                  <c:v>105.32</c:v>
                </c:pt>
                <c:pt idx="25" formatCode="0.0">
                  <c:v>107.25</c:v>
                </c:pt>
                <c:pt idx="26" formatCode="0.0">
                  <c:v>108.35</c:v>
                </c:pt>
                <c:pt idx="27" formatCode="0.0">
                  <c:v>109.73</c:v>
                </c:pt>
                <c:pt idx="28" formatCode="0.0">
                  <c:v>107.53</c:v>
                </c:pt>
                <c:pt idx="29" formatCode="0.0">
                  <c:v>106.15</c:v>
                </c:pt>
                <c:pt idx="30" formatCode="0.0">
                  <c:v>105.6</c:v>
                </c:pt>
                <c:pt idx="31" formatCode="0.0">
                  <c:v>103.12</c:v>
                </c:pt>
                <c:pt idx="32" formatCode="0.0">
                  <c:v>100.91</c:v>
                </c:pt>
                <c:pt idx="33" formatCode="0.0">
                  <c:v>98.43</c:v>
                </c:pt>
                <c:pt idx="34" formatCode="0.0">
                  <c:v>98.43</c:v>
                </c:pt>
                <c:pt idx="35" formatCode="0.0">
                  <c:v>97.05</c:v>
                </c:pt>
                <c:pt idx="36" formatCode="0.0">
                  <c:v>98.98</c:v>
                </c:pt>
                <c:pt idx="37" formatCode="0.0">
                  <c:v>100.91</c:v>
                </c:pt>
                <c:pt idx="38" formatCode="0.0">
                  <c:v>99.81</c:v>
                </c:pt>
                <c:pt idx="39" formatCode="0.0">
                  <c:v>100.36</c:v>
                </c:pt>
                <c:pt idx="40" formatCode="0.0">
                  <c:v>100.36</c:v>
                </c:pt>
                <c:pt idx="41" formatCode="0.0">
                  <c:v>100.36</c:v>
                </c:pt>
                <c:pt idx="42" formatCode="0.0">
                  <c:v>103.12</c:v>
                </c:pt>
                <c:pt idx="43" formatCode="0.0">
                  <c:v>104.22</c:v>
                </c:pt>
                <c:pt idx="44" formatCode="0.0">
                  <c:v>107.25</c:v>
                </c:pt>
                <c:pt idx="45" formatCode="0.0">
                  <c:v>108.35</c:v>
                </c:pt>
                <c:pt idx="46" formatCode="0.0">
                  <c:v>106.7</c:v>
                </c:pt>
                <c:pt idx="47" formatCode="0.0">
                  <c:v>105.87</c:v>
                </c:pt>
                <c:pt idx="48" formatCode="0.0">
                  <c:v>103.94</c:v>
                </c:pt>
                <c:pt idx="49" formatCode="0.0">
                  <c:v>95.95</c:v>
                </c:pt>
                <c:pt idx="50" formatCode="0.0">
                  <c:v>94.02</c:v>
                </c:pt>
                <c:pt idx="51" formatCode="0.0">
                  <c:v>90.16</c:v>
                </c:pt>
                <c:pt idx="52" formatCode="0.0">
                  <c:v>87.68</c:v>
                </c:pt>
                <c:pt idx="53" formatCode="0.0">
                  <c:v>85.47</c:v>
                </c:pt>
                <c:pt idx="54" formatCode="0.0">
                  <c:v>78.849999999999994</c:v>
                </c:pt>
                <c:pt idx="55" formatCode="0.0">
                  <c:v>76.099999999999994</c:v>
                </c:pt>
                <c:pt idx="56" formatCode="0.0">
                  <c:v>68.930000000000007</c:v>
                </c:pt>
                <c:pt idx="57" formatCode="0.0">
                  <c:v>65.069999999999993</c:v>
                </c:pt>
                <c:pt idx="58" formatCode="0.0">
                  <c:v>61.48</c:v>
                </c:pt>
                <c:pt idx="59" formatCode="0.0">
                  <c:v>59</c:v>
                </c:pt>
                <c:pt idx="60" formatCode="0.0">
                  <c:v>53.49</c:v>
                </c:pt>
                <c:pt idx="61" formatCode="0.0">
                  <c:v>54.31</c:v>
                </c:pt>
                <c:pt idx="62" formatCode="0.0">
                  <c:v>52.11</c:v>
                </c:pt>
                <c:pt idx="63" formatCode="0.0">
                  <c:v>52.94</c:v>
                </c:pt>
                <c:pt idx="64" formatCode="0.0">
                  <c:v>52.66</c:v>
                </c:pt>
                <c:pt idx="65" formatCode="0.0">
                  <c:v>51.56</c:v>
                </c:pt>
                <c:pt idx="66" formatCode="0.0">
                  <c:v>49.08</c:v>
                </c:pt>
                <c:pt idx="67" formatCode="0.0">
                  <c:v>47.42</c:v>
                </c:pt>
                <c:pt idx="68" formatCode="0.0">
                  <c:v>48.52</c:v>
                </c:pt>
                <c:pt idx="69" formatCode="0.0">
                  <c:v>48.52</c:v>
                </c:pt>
              </c:numCache>
            </c:numRef>
          </c:val>
          <c:smooth val="1"/>
          <c:extLst>
            <c:ext xmlns:c16="http://schemas.microsoft.com/office/drawing/2014/chart" uri="{C3380CC4-5D6E-409C-BE32-E72D297353CC}">
              <c16:uniqueId val="{0000000B-74D8-49DC-8408-92E865EF6BF1}"/>
            </c:ext>
          </c:extLst>
        </c:ser>
        <c:ser>
          <c:idx val="12"/>
          <c:order val="12"/>
          <c:tx>
            <c:strRef>
              <c:f>'Full Ranking'!$N$605</c:f>
              <c:strCache>
                <c:ptCount val="1"/>
                <c:pt idx="0">
                  <c:v>12</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Ranking'!$N$606:$N$675</c:f>
              <c:numCache>
                <c:formatCode>#,##0</c:formatCode>
                <c:ptCount val="70"/>
                <c:pt idx="0">
                  <c:v>30</c:v>
                </c:pt>
                <c:pt idx="1">
                  <c:v>20</c:v>
                </c:pt>
                <c:pt idx="7">
                  <c:v>18</c:v>
                </c:pt>
                <c:pt idx="8">
                  <c:v>21</c:v>
                </c:pt>
                <c:pt idx="10">
                  <c:v>18</c:v>
                </c:pt>
                <c:pt idx="11">
                  <c:v>26</c:v>
                </c:pt>
                <c:pt idx="14">
                  <c:v>18</c:v>
                </c:pt>
                <c:pt idx="16">
                  <c:v>15</c:v>
                </c:pt>
                <c:pt idx="17">
                  <c:v>22</c:v>
                </c:pt>
                <c:pt idx="18">
                  <c:v>147</c:v>
                </c:pt>
                <c:pt idx="20">
                  <c:v>10</c:v>
                </c:pt>
                <c:pt idx="21" formatCode="0.0">
                  <c:v>42.3</c:v>
                </c:pt>
                <c:pt idx="22" formatCode="0.0">
                  <c:v>44.57</c:v>
                </c:pt>
                <c:pt idx="23" formatCode="0.0">
                  <c:v>43.81</c:v>
                </c:pt>
                <c:pt idx="24" formatCode="0.0">
                  <c:v>44.57</c:v>
                </c:pt>
                <c:pt idx="25" formatCode="0.0">
                  <c:v>51.37</c:v>
                </c:pt>
                <c:pt idx="26" formatCode="0.0">
                  <c:v>52.12</c:v>
                </c:pt>
                <c:pt idx="27" formatCode="0.0">
                  <c:v>52.88</c:v>
                </c:pt>
                <c:pt idx="28" formatCode="0.0">
                  <c:v>52.88</c:v>
                </c:pt>
                <c:pt idx="29" formatCode="0.0">
                  <c:v>56.66</c:v>
                </c:pt>
                <c:pt idx="30" formatCode="0.0">
                  <c:v>55.14</c:v>
                </c:pt>
                <c:pt idx="31" formatCode="0.0">
                  <c:v>58.92</c:v>
                </c:pt>
                <c:pt idx="32" formatCode="0.0">
                  <c:v>63.45</c:v>
                </c:pt>
                <c:pt idx="33" formatCode="0.0">
                  <c:v>64.209999999999994</c:v>
                </c:pt>
                <c:pt idx="34" formatCode="0.0">
                  <c:v>62.7</c:v>
                </c:pt>
                <c:pt idx="35" formatCode="0.0">
                  <c:v>64.209999999999994</c:v>
                </c:pt>
                <c:pt idx="36" formatCode="0.0">
                  <c:v>68.739999999999995</c:v>
                </c:pt>
                <c:pt idx="37" formatCode="0.0">
                  <c:v>64.209999999999994</c:v>
                </c:pt>
                <c:pt idx="38" formatCode="0.0">
                  <c:v>68.739999999999995</c:v>
                </c:pt>
                <c:pt idx="39" formatCode="0.0">
                  <c:v>67.23</c:v>
                </c:pt>
                <c:pt idx="40" formatCode="0.0">
                  <c:v>71.010000000000005</c:v>
                </c:pt>
                <c:pt idx="41" formatCode="0.0">
                  <c:v>71.010000000000005</c:v>
                </c:pt>
                <c:pt idx="42" formatCode="0.0">
                  <c:v>74.03</c:v>
                </c:pt>
                <c:pt idx="43" formatCode="0.0">
                  <c:v>71.010000000000005</c:v>
                </c:pt>
                <c:pt idx="44" formatCode="0.0">
                  <c:v>67.989999999999995</c:v>
                </c:pt>
                <c:pt idx="45" formatCode="0.0">
                  <c:v>62.7</c:v>
                </c:pt>
                <c:pt idx="46" formatCode="0.0">
                  <c:v>64.959999999999994</c:v>
                </c:pt>
                <c:pt idx="47" formatCode="0.0">
                  <c:v>62.7</c:v>
                </c:pt>
                <c:pt idx="48" formatCode="0.0">
                  <c:v>57.41</c:v>
                </c:pt>
                <c:pt idx="49" formatCode="0.0">
                  <c:v>57.41</c:v>
                </c:pt>
                <c:pt idx="50" formatCode="0.0">
                  <c:v>53.63</c:v>
                </c:pt>
                <c:pt idx="51" formatCode="0.0">
                  <c:v>54.39</c:v>
                </c:pt>
                <c:pt idx="52" formatCode="0.0">
                  <c:v>47.59</c:v>
                </c:pt>
                <c:pt idx="53" formatCode="0.0">
                  <c:v>46.08</c:v>
                </c:pt>
                <c:pt idx="54" formatCode="0.0">
                  <c:v>46.83</c:v>
                </c:pt>
                <c:pt idx="55" formatCode="0.0">
                  <c:v>43.06</c:v>
                </c:pt>
                <c:pt idx="56" formatCode="0.0">
                  <c:v>39.28</c:v>
                </c:pt>
                <c:pt idx="57" formatCode="0.0">
                  <c:v>40.04</c:v>
                </c:pt>
                <c:pt idx="58" formatCode="0.0">
                  <c:v>39.28</c:v>
                </c:pt>
                <c:pt idx="59" formatCode="0.0">
                  <c:v>40.79</c:v>
                </c:pt>
                <c:pt idx="60" formatCode="0.0">
                  <c:v>43.06</c:v>
                </c:pt>
                <c:pt idx="61" formatCode="0.0">
                  <c:v>43.06</c:v>
                </c:pt>
                <c:pt idx="62" formatCode="0.0">
                  <c:v>43.81</c:v>
                </c:pt>
                <c:pt idx="63" formatCode="0.0">
                  <c:v>43.81</c:v>
                </c:pt>
                <c:pt idx="64" formatCode="0.0">
                  <c:v>43.81</c:v>
                </c:pt>
                <c:pt idx="65" formatCode="0.0">
                  <c:v>44.57</c:v>
                </c:pt>
                <c:pt idx="66" formatCode="0.0">
                  <c:v>41.55</c:v>
                </c:pt>
                <c:pt idx="67" formatCode="0.0">
                  <c:v>44.57</c:v>
                </c:pt>
                <c:pt idx="68" formatCode="0.0">
                  <c:v>46.08</c:v>
                </c:pt>
                <c:pt idx="69" formatCode="0.0">
                  <c:v>47.59</c:v>
                </c:pt>
              </c:numCache>
            </c:numRef>
          </c:val>
          <c:smooth val="1"/>
          <c:extLst>
            <c:ext xmlns:c16="http://schemas.microsoft.com/office/drawing/2014/chart" uri="{C3380CC4-5D6E-409C-BE32-E72D297353CC}">
              <c16:uniqueId val="{0000000C-74D8-49DC-8408-92E865EF6BF1}"/>
            </c:ext>
          </c:extLst>
        </c:ser>
        <c:ser>
          <c:idx val="13"/>
          <c:order val="13"/>
          <c:tx>
            <c:strRef>
              <c:f>'Full Ranking'!$O$605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Ranking'!$O$606:$O$675</c:f>
              <c:numCache>
                <c:formatCode>#,##0</c:formatCode>
                <c:ptCount val="70"/>
                <c:pt idx="0">
                  <c:v>37</c:v>
                </c:pt>
                <c:pt idx="1">
                  <c:v>23</c:v>
                </c:pt>
                <c:pt idx="7">
                  <c:v>22</c:v>
                </c:pt>
                <c:pt idx="8">
                  <c:v>18</c:v>
                </c:pt>
                <c:pt idx="10">
                  <c:v>20</c:v>
                </c:pt>
                <c:pt idx="11">
                  <c:v>31</c:v>
                </c:pt>
                <c:pt idx="14">
                  <c:v>19</c:v>
                </c:pt>
                <c:pt idx="16">
                  <c:v>13</c:v>
                </c:pt>
                <c:pt idx="17">
                  <c:v>25</c:v>
                </c:pt>
                <c:pt idx="18">
                  <c:v>154</c:v>
                </c:pt>
                <c:pt idx="20">
                  <c:v>14</c:v>
                </c:pt>
                <c:pt idx="21" formatCode="0.0">
                  <c:v>33.270000000000003</c:v>
                </c:pt>
                <c:pt idx="22" formatCode="0.0">
                  <c:v>34.04</c:v>
                </c:pt>
                <c:pt idx="23" formatCode="0.0">
                  <c:v>35.97</c:v>
                </c:pt>
                <c:pt idx="24" formatCode="0.0">
                  <c:v>37.130000000000003</c:v>
                </c:pt>
                <c:pt idx="25" formatCode="0.0">
                  <c:v>33.270000000000003</c:v>
                </c:pt>
                <c:pt idx="26" formatCode="0.0">
                  <c:v>35.590000000000003</c:v>
                </c:pt>
                <c:pt idx="27" formatCode="0.0">
                  <c:v>35.590000000000003</c:v>
                </c:pt>
                <c:pt idx="28" formatCode="0.0">
                  <c:v>33.65</c:v>
                </c:pt>
                <c:pt idx="29" formatCode="0.0">
                  <c:v>34.43</c:v>
                </c:pt>
                <c:pt idx="30" formatCode="0.0">
                  <c:v>32.49</c:v>
                </c:pt>
                <c:pt idx="31" formatCode="0.0">
                  <c:v>31.72</c:v>
                </c:pt>
                <c:pt idx="32" formatCode="0.0">
                  <c:v>29.01</c:v>
                </c:pt>
                <c:pt idx="33" formatCode="0.0">
                  <c:v>27.08</c:v>
                </c:pt>
                <c:pt idx="34" formatCode="0.0">
                  <c:v>28.62</c:v>
                </c:pt>
                <c:pt idx="35" formatCode="0.0">
                  <c:v>28.62</c:v>
                </c:pt>
                <c:pt idx="36" formatCode="0.0">
                  <c:v>31.33</c:v>
                </c:pt>
                <c:pt idx="37" formatCode="0.0">
                  <c:v>32.49</c:v>
                </c:pt>
                <c:pt idx="38" formatCode="0.0">
                  <c:v>31.72</c:v>
                </c:pt>
                <c:pt idx="39" formatCode="0.0">
                  <c:v>32.880000000000003</c:v>
                </c:pt>
                <c:pt idx="40" formatCode="0.0">
                  <c:v>34.43</c:v>
                </c:pt>
                <c:pt idx="41" formatCode="0.0">
                  <c:v>34.81</c:v>
                </c:pt>
                <c:pt idx="42" formatCode="0.0">
                  <c:v>35.97</c:v>
                </c:pt>
                <c:pt idx="43" formatCode="0.0">
                  <c:v>35.97</c:v>
                </c:pt>
                <c:pt idx="44" formatCode="0.0">
                  <c:v>37.909999999999997</c:v>
                </c:pt>
                <c:pt idx="45" formatCode="0.0">
                  <c:v>42.94</c:v>
                </c:pt>
                <c:pt idx="46" formatCode="0.0">
                  <c:v>42.55</c:v>
                </c:pt>
                <c:pt idx="47" formatCode="0.0">
                  <c:v>42.55</c:v>
                </c:pt>
                <c:pt idx="48" formatCode="0.0">
                  <c:v>41.78</c:v>
                </c:pt>
                <c:pt idx="49" formatCode="0.0">
                  <c:v>42.94</c:v>
                </c:pt>
                <c:pt idx="50" formatCode="0.0">
                  <c:v>42.55</c:v>
                </c:pt>
                <c:pt idx="51" formatCode="0.0">
                  <c:v>45.26</c:v>
                </c:pt>
                <c:pt idx="52" formatCode="0.0">
                  <c:v>46.03</c:v>
                </c:pt>
                <c:pt idx="53" formatCode="0.0">
                  <c:v>49.9</c:v>
                </c:pt>
                <c:pt idx="54" formatCode="0.0">
                  <c:v>51.83</c:v>
                </c:pt>
                <c:pt idx="55" formatCode="0.0">
                  <c:v>53.38</c:v>
                </c:pt>
                <c:pt idx="56" formatCode="0.0">
                  <c:v>51.45</c:v>
                </c:pt>
                <c:pt idx="57" formatCode="0.0">
                  <c:v>49.51</c:v>
                </c:pt>
                <c:pt idx="58" formatCode="0.0">
                  <c:v>51.06</c:v>
                </c:pt>
                <c:pt idx="59" formatCode="0.0">
                  <c:v>55.31</c:v>
                </c:pt>
                <c:pt idx="60" formatCode="0.0">
                  <c:v>57.25</c:v>
                </c:pt>
                <c:pt idx="61" formatCode="0.0">
                  <c:v>57.64</c:v>
                </c:pt>
                <c:pt idx="62" formatCode="0.0">
                  <c:v>58.8</c:v>
                </c:pt>
                <c:pt idx="63" formatCode="0.0">
                  <c:v>54.93</c:v>
                </c:pt>
                <c:pt idx="64" formatCode="0.0">
                  <c:v>55.31</c:v>
                </c:pt>
                <c:pt idx="65" formatCode="0.0">
                  <c:v>51.83</c:v>
                </c:pt>
                <c:pt idx="66" formatCode="0.0">
                  <c:v>50.29</c:v>
                </c:pt>
                <c:pt idx="67" formatCode="0.0">
                  <c:v>49.13</c:v>
                </c:pt>
                <c:pt idx="68" formatCode="0.0">
                  <c:v>49.13</c:v>
                </c:pt>
                <c:pt idx="69" formatCode="0.0">
                  <c:v>47.58</c:v>
                </c:pt>
              </c:numCache>
            </c:numRef>
          </c:val>
          <c:smooth val="1"/>
          <c:extLst>
            <c:ext xmlns:c16="http://schemas.microsoft.com/office/drawing/2014/chart" uri="{C3380CC4-5D6E-409C-BE32-E72D297353CC}">
              <c16:uniqueId val="{0000000D-74D8-49DC-8408-92E865EF6BF1}"/>
            </c:ext>
          </c:extLst>
        </c:ser>
        <c:ser>
          <c:idx val="14"/>
          <c:order val="14"/>
          <c:tx>
            <c:strRef>
              <c:f>'Full Ranking'!$P$605</c:f>
              <c:strCache>
                <c:ptCount val="1"/>
                <c:pt idx="0">
                  <c:v>11</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Ranking'!$P$606:$P$675</c:f>
              <c:numCache>
                <c:formatCode>#,##0</c:formatCode>
                <c:ptCount val="70"/>
                <c:pt idx="0">
                  <c:v>39</c:v>
                </c:pt>
                <c:pt idx="1">
                  <c:v>24</c:v>
                </c:pt>
                <c:pt idx="7">
                  <c:v>24</c:v>
                </c:pt>
                <c:pt idx="8">
                  <c:v>18</c:v>
                </c:pt>
                <c:pt idx="9">
                  <c:v>12</c:v>
                </c:pt>
                <c:pt idx="10">
                  <c:v>16</c:v>
                </c:pt>
                <c:pt idx="11">
                  <c:v>29</c:v>
                </c:pt>
                <c:pt idx="14">
                  <c:v>23</c:v>
                </c:pt>
                <c:pt idx="15">
                  <c:v>11</c:v>
                </c:pt>
                <c:pt idx="16">
                  <c:v>14</c:v>
                </c:pt>
                <c:pt idx="17">
                  <c:v>25</c:v>
                </c:pt>
                <c:pt idx="18">
                  <c:v>153</c:v>
                </c:pt>
                <c:pt idx="20">
                  <c:v>16</c:v>
                </c:pt>
                <c:pt idx="21" formatCode="0.0">
                  <c:v>25.17</c:v>
                </c:pt>
                <c:pt idx="22" formatCode="0.0">
                  <c:v>23.4</c:v>
                </c:pt>
                <c:pt idx="23" formatCode="0.0">
                  <c:v>24.28</c:v>
                </c:pt>
                <c:pt idx="24" formatCode="0.0">
                  <c:v>28.26</c:v>
                </c:pt>
                <c:pt idx="25" formatCode="0.0">
                  <c:v>27.82</c:v>
                </c:pt>
                <c:pt idx="26" formatCode="0.0">
                  <c:v>26.05</c:v>
                </c:pt>
                <c:pt idx="27" formatCode="0.0">
                  <c:v>29.14</c:v>
                </c:pt>
                <c:pt idx="28" formatCode="0.0">
                  <c:v>29.58</c:v>
                </c:pt>
                <c:pt idx="29" formatCode="0.0">
                  <c:v>30.47</c:v>
                </c:pt>
                <c:pt idx="30" formatCode="0.0">
                  <c:v>32.229999999999997</c:v>
                </c:pt>
                <c:pt idx="31" formatCode="0.0">
                  <c:v>33.56</c:v>
                </c:pt>
                <c:pt idx="32" formatCode="0.0">
                  <c:v>33.56</c:v>
                </c:pt>
                <c:pt idx="33" formatCode="0.0">
                  <c:v>34</c:v>
                </c:pt>
                <c:pt idx="34" formatCode="0.0">
                  <c:v>35.32</c:v>
                </c:pt>
                <c:pt idx="35" formatCode="0.0">
                  <c:v>35.76</c:v>
                </c:pt>
                <c:pt idx="36" formatCode="0.0">
                  <c:v>32.67</c:v>
                </c:pt>
                <c:pt idx="37" formatCode="0.0">
                  <c:v>32.229999999999997</c:v>
                </c:pt>
                <c:pt idx="38" formatCode="0.0">
                  <c:v>34</c:v>
                </c:pt>
                <c:pt idx="39" formatCode="0.0">
                  <c:v>34</c:v>
                </c:pt>
                <c:pt idx="40" formatCode="0.0">
                  <c:v>37.97</c:v>
                </c:pt>
                <c:pt idx="41" formatCode="0.0">
                  <c:v>38.409999999999997</c:v>
                </c:pt>
                <c:pt idx="42" formatCode="0.0">
                  <c:v>36.21</c:v>
                </c:pt>
                <c:pt idx="43" formatCode="0.0">
                  <c:v>35.32</c:v>
                </c:pt>
                <c:pt idx="44" formatCode="0.0">
                  <c:v>35.76</c:v>
                </c:pt>
                <c:pt idx="45" formatCode="0.0">
                  <c:v>36.21</c:v>
                </c:pt>
                <c:pt idx="46" formatCode="0.0">
                  <c:v>36.65</c:v>
                </c:pt>
                <c:pt idx="47" formatCode="0.0">
                  <c:v>35.76</c:v>
                </c:pt>
                <c:pt idx="48" formatCode="0.0">
                  <c:v>36.65</c:v>
                </c:pt>
                <c:pt idx="49" formatCode="0.0">
                  <c:v>37.53</c:v>
                </c:pt>
                <c:pt idx="50" formatCode="0.0">
                  <c:v>38.86</c:v>
                </c:pt>
                <c:pt idx="51" formatCode="0.0">
                  <c:v>36.65</c:v>
                </c:pt>
                <c:pt idx="52" formatCode="0.0">
                  <c:v>34.880000000000003</c:v>
                </c:pt>
                <c:pt idx="53" formatCode="0.0">
                  <c:v>36.21</c:v>
                </c:pt>
                <c:pt idx="54" formatCode="0.0">
                  <c:v>37.090000000000003</c:v>
                </c:pt>
                <c:pt idx="55" formatCode="0.0">
                  <c:v>39.74</c:v>
                </c:pt>
                <c:pt idx="56" formatCode="0.0">
                  <c:v>39.299999999999997</c:v>
                </c:pt>
                <c:pt idx="57" formatCode="0.0">
                  <c:v>40.619999999999997</c:v>
                </c:pt>
                <c:pt idx="58" formatCode="0.0">
                  <c:v>39.74</c:v>
                </c:pt>
                <c:pt idx="59" formatCode="0.0">
                  <c:v>42.39</c:v>
                </c:pt>
                <c:pt idx="60" formatCode="0.0">
                  <c:v>44.15</c:v>
                </c:pt>
                <c:pt idx="61" formatCode="0.0">
                  <c:v>48.13</c:v>
                </c:pt>
                <c:pt idx="62" formatCode="0.0">
                  <c:v>49.01</c:v>
                </c:pt>
                <c:pt idx="63" formatCode="0.0">
                  <c:v>50.34</c:v>
                </c:pt>
                <c:pt idx="64" formatCode="0.0">
                  <c:v>51.22</c:v>
                </c:pt>
                <c:pt idx="65" formatCode="0.0">
                  <c:v>49.89</c:v>
                </c:pt>
                <c:pt idx="66" formatCode="0.0">
                  <c:v>49.89</c:v>
                </c:pt>
                <c:pt idx="67" formatCode="0.0">
                  <c:v>48.57</c:v>
                </c:pt>
                <c:pt idx="68" formatCode="0.0">
                  <c:v>48.13</c:v>
                </c:pt>
                <c:pt idx="69" formatCode="0.0">
                  <c:v>47.24</c:v>
                </c:pt>
              </c:numCache>
            </c:numRef>
          </c:val>
          <c:smooth val="1"/>
          <c:extLst>
            <c:ext xmlns:c16="http://schemas.microsoft.com/office/drawing/2014/chart" uri="{C3380CC4-5D6E-409C-BE32-E72D297353CC}">
              <c16:uniqueId val="{0000000E-74D8-49DC-8408-92E865EF6BF1}"/>
            </c:ext>
          </c:extLst>
        </c:ser>
        <c:ser>
          <c:idx val="15"/>
          <c:order val="15"/>
          <c:tx>
            <c:strRef>
              <c:f>'Full Ranking'!$Q$605</c:f>
              <c:strCache>
                <c:ptCount val="1"/>
                <c:pt idx="0">
                  <c:v>14</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Ranking'!$Q$606:$Q$675</c:f>
              <c:numCache>
                <c:formatCode>#,##0</c:formatCode>
                <c:ptCount val="70"/>
                <c:pt idx="0">
                  <c:v>34</c:v>
                </c:pt>
                <c:pt idx="1">
                  <c:v>23</c:v>
                </c:pt>
                <c:pt idx="7">
                  <c:v>25</c:v>
                </c:pt>
                <c:pt idx="8">
                  <c:v>14</c:v>
                </c:pt>
                <c:pt idx="9">
                  <c:v>12</c:v>
                </c:pt>
                <c:pt idx="10">
                  <c:v>18</c:v>
                </c:pt>
                <c:pt idx="11">
                  <c:v>29</c:v>
                </c:pt>
                <c:pt idx="14">
                  <c:v>27</c:v>
                </c:pt>
                <c:pt idx="16">
                  <c:v>16</c:v>
                </c:pt>
                <c:pt idx="17">
                  <c:v>24</c:v>
                </c:pt>
                <c:pt idx="18">
                  <c:v>180</c:v>
                </c:pt>
                <c:pt idx="20">
                  <c:v>17</c:v>
                </c:pt>
                <c:pt idx="21" formatCode="0.0">
                  <c:v>87.48</c:v>
                </c:pt>
                <c:pt idx="22" formatCode="0.0">
                  <c:v>76.2</c:v>
                </c:pt>
                <c:pt idx="23" formatCode="0.0">
                  <c:v>80.900000000000006</c:v>
                </c:pt>
                <c:pt idx="24" formatCode="0.0">
                  <c:v>82.78</c:v>
                </c:pt>
                <c:pt idx="25" formatCode="0.0">
                  <c:v>84.66</c:v>
                </c:pt>
                <c:pt idx="26" formatCode="0.0">
                  <c:v>89.37</c:v>
                </c:pt>
                <c:pt idx="27" formatCode="0.0">
                  <c:v>93.13</c:v>
                </c:pt>
                <c:pt idx="28" formatCode="0.0">
                  <c:v>98.77</c:v>
                </c:pt>
                <c:pt idx="29" formatCode="0.0">
                  <c:v>103.48</c:v>
                </c:pt>
                <c:pt idx="30" formatCode="0.0">
                  <c:v>102.54</c:v>
                </c:pt>
                <c:pt idx="31" formatCode="0.0">
                  <c:v>94.07</c:v>
                </c:pt>
                <c:pt idx="32" formatCode="0.0">
                  <c:v>89.37</c:v>
                </c:pt>
                <c:pt idx="33" formatCode="0.0">
                  <c:v>91.25</c:v>
                </c:pt>
                <c:pt idx="34" formatCode="0.0">
                  <c:v>92.19</c:v>
                </c:pt>
                <c:pt idx="35" formatCode="0.0">
                  <c:v>93.13</c:v>
                </c:pt>
                <c:pt idx="36" formatCode="0.0">
                  <c:v>89.37</c:v>
                </c:pt>
                <c:pt idx="37" formatCode="0.0">
                  <c:v>85.6</c:v>
                </c:pt>
                <c:pt idx="38" formatCode="0.0">
                  <c:v>79.959999999999994</c:v>
                </c:pt>
                <c:pt idx="39" formatCode="0.0">
                  <c:v>73.37</c:v>
                </c:pt>
                <c:pt idx="40" formatCode="0.0">
                  <c:v>63.97</c:v>
                </c:pt>
                <c:pt idx="41" formatCode="0.0">
                  <c:v>55.5</c:v>
                </c:pt>
                <c:pt idx="42" formatCode="0.0">
                  <c:v>56.44</c:v>
                </c:pt>
                <c:pt idx="43" formatCode="0.0">
                  <c:v>56.44</c:v>
                </c:pt>
                <c:pt idx="44" formatCode="0.0">
                  <c:v>56.44</c:v>
                </c:pt>
                <c:pt idx="45" formatCode="0.0">
                  <c:v>55.5</c:v>
                </c:pt>
                <c:pt idx="46" formatCode="0.0">
                  <c:v>62.09</c:v>
                </c:pt>
                <c:pt idx="47" formatCode="0.0">
                  <c:v>55.5</c:v>
                </c:pt>
                <c:pt idx="48" formatCode="0.0">
                  <c:v>57.38</c:v>
                </c:pt>
                <c:pt idx="49" formatCode="0.0">
                  <c:v>58.32</c:v>
                </c:pt>
                <c:pt idx="50" formatCode="0.0">
                  <c:v>53.62</c:v>
                </c:pt>
                <c:pt idx="51" formatCode="0.0">
                  <c:v>54.56</c:v>
                </c:pt>
                <c:pt idx="52" formatCode="0.0">
                  <c:v>56.44</c:v>
                </c:pt>
                <c:pt idx="53" formatCode="0.0">
                  <c:v>59.26</c:v>
                </c:pt>
                <c:pt idx="54" formatCode="0.0">
                  <c:v>56.44</c:v>
                </c:pt>
                <c:pt idx="55" formatCode="0.0">
                  <c:v>56.44</c:v>
                </c:pt>
                <c:pt idx="56" formatCode="0.0">
                  <c:v>54.56</c:v>
                </c:pt>
                <c:pt idx="57" formatCode="0.0">
                  <c:v>51.74</c:v>
                </c:pt>
                <c:pt idx="58" formatCode="0.0">
                  <c:v>43.27</c:v>
                </c:pt>
                <c:pt idx="59" formatCode="0.0">
                  <c:v>44.21</c:v>
                </c:pt>
                <c:pt idx="60" formatCode="0.0">
                  <c:v>41.39</c:v>
                </c:pt>
                <c:pt idx="61" formatCode="0.0">
                  <c:v>39.51</c:v>
                </c:pt>
                <c:pt idx="62" formatCode="0.0">
                  <c:v>41.39</c:v>
                </c:pt>
                <c:pt idx="63" formatCode="0.0">
                  <c:v>43.27</c:v>
                </c:pt>
                <c:pt idx="64" formatCode="0.0">
                  <c:v>47.03</c:v>
                </c:pt>
                <c:pt idx="65" formatCode="0.0">
                  <c:v>43.27</c:v>
                </c:pt>
                <c:pt idx="66" formatCode="0.0">
                  <c:v>44.21</c:v>
                </c:pt>
                <c:pt idx="67" formatCode="0.0">
                  <c:v>46.09</c:v>
                </c:pt>
                <c:pt idx="68" formatCode="0.0">
                  <c:v>47.03</c:v>
                </c:pt>
                <c:pt idx="69" formatCode="0.0">
                  <c:v>47.03</c:v>
                </c:pt>
              </c:numCache>
            </c:numRef>
          </c:val>
          <c:smooth val="1"/>
          <c:extLst>
            <c:ext xmlns:c16="http://schemas.microsoft.com/office/drawing/2014/chart" uri="{C3380CC4-5D6E-409C-BE32-E72D297353CC}">
              <c16:uniqueId val="{0000000F-74D8-49DC-8408-92E865EF6BF1}"/>
            </c:ext>
          </c:extLst>
        </c:ser>
        <c:ser>
          <c:idx val="16"/>
          <c:order val="16"/>
          <c:tx>
            <c:strRef>
              <c:f>'Full Ranking'!$R$605</c:f>
              <c:strCache>
                <c:ptCount val="1"/>
                <c:pt idx="0">
                  <c:v>13</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Ranking'!$R$606:$R$675</c:f>
              <c:numCache>
                <c:formatCode>#,##0</c:formatCode>
                <c:ptCount val="70"/>
                <c:pt idx="0">
                  <c:v>29</c:v>
                </c:pt>
                <c:pt idx="1">
                  <c:v>22</c:v>
                </c:pt>
                <c:pt idx="7">
                  <c:v>24</c:v>
                </c:pt>
                <c:pt idx="8">
                  <c:v>19</c:v>
                </c:pt>
                <c:pt idx="9">
                  <c:v>18</c:v>
                </c:pt>
                <c:pt idx="10">
                  <c:v>21</c:v>
                </c:pt>
                <c:pt idx="11">
                  <c:v>32</c:v>
                </c:pt>
                <c:pt idx="14">
                  <c:v>25</c:v>
                </c:pt>
                <c:pt idx="16">
                  <c:v>12</c:v>
                </c:pt>
                <c:pt idx="17">
                  <c:v>24</c:v>
                </c:pt>
                <c:pt idx="18">
                  <c:v>212</c:v>
                </c:pt>
                <c:pt idx="20">
                  <c:v>18</c:v>
                </c:pt>
                <c:pt idx="21" formatCode="0.0">
                  <c:v>35.81</c:v>
                </c:pt>
                <c:pt idx="22" formatCode="0.0">
                  <c:v>35.81</c:v>
                </c:pt>
                <c:pt idx="23" formatCode="0.0">
                  <c:v>35.28</c:v>
                </c:pt>
                <c:pt idx="24" formatCode="0.0">
                  <c:v>36.229999999999997</c:v>
                </c:pt>
                <c:pt idx="25" formatCode="0.0">
                  <c:v>37.4</c:v>
                </c:pt>
                <c:pt idx="26" formatCode="0.0">
                  <c:v>38.25</c:v>
                </c:pt>
                <c:pt idx="27" formatCode="0.0">
                  <c:v>37.83</c:v>
                </c:pt>
                <c:pt idx="28" formatCode="0.0">
                  <c:v>37.29</c:v>
                </c:pt>
                <c:pt idx="29" formatCode="0.0">
                  <c:v>35.81</c:v>
                </c:pt>
                <c:pt idx="30" formatCode="0.0">
                  <c:v>35.380000000000003</c:v>
                </c:pt>
                <c:pt idx="31" formatCode="0.0">
                  <c:v>35.590000000000003</c:v>
                </c:pt>
                <c:pt idx="32" formatCode="0.0">
                  <c:v>33.36</c:v>
                </c:pt>
                <c:pt idx="33" formatCode="0.0">
                  <c:v>32.409999999999997</c:v>
                </c:pt>
                <c:pt idx="34" formatCode="0.0">
                  <c:v>33.89</c:v>
                </c:pt>
                <c:pt idx="35" formatCode="0.0">
                  <c:v>34.74</c:v>
                </c:pt>
                <c:pt idx="36" formatCode="0.0">
                  <c:v>37.19</c:v>
                </c:pt>
                <c:pt idx="37" formatCode="0.0">
                  <c:v>37.83</c:v>
                </c:pt>
                <c:pt idx="38" formatCode="0.0">
                  <c:v>38.14</c:v>
                </c:pt>
                <c:pt idx="39" formatCode="0.0">
                  <c:v>39.21</c:v>
                </c:pt>
                <c:pt idx="40" formatCode="0.0">
                  <c:v>40.479999999999997</c:v>
                </c:pt>
                <c:pt idx="41" formatCode="0.0">
                  <c:v>43.03</c:v>
                </c:pt>
                <c:pt idx="42" formatCode="0.0">
                  <c:v>45.26</c:v>
                </c:pt>
                <c:pt idx="43" formatCode="0.0">
                  <c:v>45.48</c:v>
                </c:pt>
                <c:pt idx="44" formatCode="0.0">
                  <c:v>46.96</c:v>
                </c:pt>
                <c:pt idx="45" formatCode="0.0">
                  <c:v>49.09</c:v>
                </c:pt>
                <c:pt idx="46" formatCode="0.0">
                  <c:v>49.41</c:v>
                </c:pt>
                <c:pt idx="47" formatCode="0.0">
                  <c:v>49.83</c:v>
                </c:pt>
                <c:pt idx="48" formatCode="0.0">
                  <c:v>48.66</c:v>
                </c:pt>
                <c:pt idx="49" formatCode="0.0">
                  <c:v>48.56</c:v>
                </c:pt>
                <c:pt idx="50" formatCode="0.0">
                  <c:v>49.41</c:v>
                </c:pt>
                <c:pt idx="51" formatCode="0.0">
                  <c:v>49.09</c:v>
                </c:pt>
                <c:pt idx="52" formatCode="0.0">
                  <c:v>48.13</c:v>
                </c:pt>
                <c:pt idx="53" formatCode="0.0">
                  <c:v>47.81</c:v>
                </c:pt>
                <c:pt idx="54" formatCode="0.0">
                  <c:v>46.01</c:v>
                </c:pt>
                <c:pt idx="55" formatCode="0.0">
                  <c:v>44.94</c:v>
                </c:pt>
                <c:pt idx="56" formatCode="0.0">
                  <c:v>43.03</c:v>
                </c:pt>
                <c:pt idx="57" formatCode="0.0">
                  <c:v>42.18</c:v>
                </c:pt>
                <c:pt idx="58" formatCode="0.0">
                  <c:v>41.65</c:v>
                </c:pt>
                <c:pt idx="59" formatCode="0.0">
                  <c:v>40.909999999999997</c:v>
                </c:pt>
                <c:pt idx="60" formatCode="0.0">
                  <c:v>41.65</c:v>
                </c:pt>
                <c:pt idx="61" formatCode="0.0">
                  <c:v>43.67</c:v>
                </c:pt>
                <c:pt idx="62" formatCode="0.0">
                  <c:v>43.99</c:v>
                </c:pt>
                <c:pt idx="63" formatCode="0.0">
                  <c:v>46.75</c:v>
                </c:pt>
                <c:pt idx="64" formatCode="0.0">
                  <c:v>47.49</c:v>
                </c:pt>
                <c:pt idx="65" formatCode="0.0">
                  <c:v>46.75</c:v>
                </c:pt>
                <c:pt idx="66" formatCode="0.0">
                  <c:v>46.43</c:v>
                </c:pt>
                <c:pt idx="67" formatCode="0.0">
                  <c:v>45.05</c:v>
                </c:pt>
                <c:pt idx="68" formatCode="0.0">
                  <c:v>46.22</c:v>
                </c:pt>
                <c:pt idx="69" formatCode="0.0">
                  <c:v>46.22</c:v>
                </c:pt>
              </c:numCache>
            </c:numRef>
          </c:val>
          <c:smooth val="1"/>
          <c:extLst>
            <c:ext xmlns:c16="http://schemas.microsoft.com/office/drawing/2014/chart" uri="{C3380CC4-5D6E-409C-BE32-E72D297353CC}">
              <c16:uniqueId val="{00000010-74D8-49DC-8408-92E865EF6BF1}"/>
            </c:ext>
          </c:extLst>
        </c:ser>
        <c:ser>
          <c:idx val="17"/>
          <c:order val="17"/>
          <c:tx>
            <c:strRef>
              <c:f>'Full Ranking'!$S$605</c:f>
              <c:strCache>
                <c:ptCount val="1"/>
                <c:pt idx="0">
                  <c:v>13</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Ranking'!$S$606:$S$675</c:f>
              <c:numCache>
                <c:formatCode>#,##0</c:formatCode>
                <c:ptCount val="70"/>
                <c:pt idx="0">
                  <c:v>26</c:v>
                </c:pt>
                <c:pt idx="1">
                  <c:v>18</c:v>
                </c:pt>
                <c:pt idx="7">
                  <c:v>20</c:v>
                </c:pt>
                <c:pt idx="8">
                  <c:v>25</c:v>
                </c:pt>
                <c:pt idx="9">
                  <c:v>25</c:v>
                </c:pt>
                <c:pt idx="10">
                  <c:v>20</c:v>
                </c:pt>
                <c:pt idx="11">
                  <c:v>33</c:v>
                </c:pt>
                <c:pt idx="14">
                  <c:v>28</c:v>
                </c:pt>
                <c:pt idx="16">
                  <c:v>10</c:v>
                </c:pt>
                <c:pt idx="17">
                  <c:v>25</c:v>
                </c:pt>
                <c:pt idx="18">
                  <c:v>241</c:v>
                </c:pt>
                <c:pt idx="20">
                  <c:v>16</c:v>
                </c:pt>
                <c:pt idx="21" formatCode="0.0">
                  <c:v>84.46</c:v>
                </c:pt>
                <c:pt idx="22" formatCode="0.0">
                  <c:v>85.45</c:v>
                </c:pt>
                <c:pt idx="23" formatCode="0.0">
                  <c:v>90.97</c:v>
                </c:pt>
                <c:pt idx="24" formatCode="0.0">
                  <c:v>89.39</c:v>
                </c:pt>
                <c:pt idx="25" formatCode="0.0">
                  <c:v>85.05</c:v>
                </c:pt>
                <c:pt idx="26" formatCode="0.0">
                  <c:v>85.64</c:v>
                </c:pt>
                <c:pt idx="27" formatCode="0.0">
                  <c:v>88.41</c:v>
                </c:pt>
                <c:pt idx="28" formatCode="0.0">
                  <c:v>87.62</c:v>
                </c:pt>
                <c:pt idx="29" formatCode="0.0">
                  <c:v>87.81</c:v>
                </c:pt>
                <c:pt idx="30" formatCode="0.0">
                  <c:v>89.39</c:v>
                </c:pt>
                <c:pt idx="31" formatCode="0.0">
                  <c:v>91.56</c:v>
                </c:pt>
                <c:pt idx="32" formatCode="0.0">
                  <c:v>90.77</c:v>
                </c:pt>
                <c:pt idx="33" formatCode="0.0">
                  <c:v>93.34</c:v>
                </c:pt>
                <c:pt idx="34" formatCode="0.0">
                  <c:v>91.37</c:v>
                </c:pt>
                <c:pt idx="35" formatCode="0.0">
                  <c:v>90.77</c:v>
                </c:pt>
                <c:pt idx="36" formatCode="0.0">
                  <c:v>90.77</c:v>
                </c:pt>
                <c:pt idx="37" formatCode="0.0">
                  <c:v>93.73</c:v>
                </c:pt>
                <c:pt idx="38" formatCode="0.0">
                  <c:v>93.14</c:v>
                </c:pt>
                <c:pt idx="39" formatCode="0.0">
                  <c:v>93.54</c:v>
                </c:pt>
                <c:pt idx="40" formatCode="0.0">
                  <c:v>92.75</c:v>
                </c:pt>
                <c:pt idx="41" formatCode="0.0">
                  <c:v>94.13</c:v>
                </c:pt>
                <c:pt idx="42" formatCode="0.0">
                  <c:v>93.14</c:v>
                </c:pt>
                <c:pt idx="43" formatCode="0.0">
                  <c:v>90.18</c:v>
                </c:pt>
                <c:pt idx="44" formatCode="0.0">
                  <c:v>89.99</c:v>
                </c:pt>
                <c:pt idx="45" formatCode="0.0">
                  <c:v>86.43</c:v>
                </c:pt>
                <c:pt idx="46" formatCode="0.0">
                  <c:v>85.64</c:v>
                </c:pt>
                <c:pt idx="47" formatCode="0.0">
                  <c:v>84.66</c:v>
                </c:pt>
                <c:pt idx="48" formatCode="0.0">
                  <c:v>84.85</c:v>
                </c:pt>
                <c:pt idx="49" formatCode="0.0">
                  <c:v>84.66</c:v>
                </c:pt>
                <c:pt idx="50" formatCode="0.0">
                  <c:v>83.67</c:v>
                </c:pt>
                <c:pt idx="51" formatCode="0.0">
                  <c:v>79.53</c:v>
                </c:pt>
                <c:pt idx="52" formatCode="0.0">
                  <c:v>77.75</c:v>
                </c:pt>
                <c:pt idx="53" formatCode="0.0">
                  <c:v>75.78</c:v>
                </c:pt>
                <c:pt idx="54" formatCode="0.0">
                  <c:v>71.63</c:v>
                </c:pt>
                <c:pt idx="55" formatCode="0.0">
                  <c:v>70.45</c:v>
                </c:pt>
                <c:pt idx="56" formatCode="0.0">
                  <c:v>67.290000000000006</c:v>
                </c:pt>
                <c:pt idx="57" formatCode="0.0">
                  <c:v>65.709999999999994</c:v>
                </c:pt>
                <c:pt idx="58" formatCode="0.0">
                  <c:v>63.54</c:v>
                </c:pt>
                <c:pt idx="59" formatCode="0.0">
                  <c:v>59.99</c:v>
                </c:pt>
                <c:pt idx="60" formatCode="0.0">
                  <c:v>55.25</c:v>
                </c:pt>
                <c:pt idx="61" formatCode="0.0">
                  <c:v>53.28</c:v>
                </c:pt>
                <c:pt idx="62" formatCode="0.0">
                  <c:v>51.5</c:v>
                </c:pt>
                <c:pt idx="63" formatCode="0.0">
                  <c:v>51.31</c:v>
                </c:pt>
                <c:pt idx="64" formatCode="0.0">
                  <c:v>49.33</c:v>
                </c:pt>
                <c:pt idx="65" formatCode="0.0">
                  <c:v>47.56</c:v>
                </c:pt>
                <c:pt idx="66" formatCode="0.0">
                  <c:v>48.15</c:v>
                </c:pt>
                <c:pt idx="67" formatCode="0.0">
                  <c:v>47.36</c:v>
                </c:pt>
                <c:pt idx="68" formatCode="0.0">
                  <c:v>46.97</c:v>
                </c:pt>
                <c:pt idx="69" formatCode="0.0">
                  <c:v>45.98</c:v>
                </c:pt>
              </c:numCache>
            </c:numRef>
          </c:val>
          <c:smooth val="1"/>
          <c:extLst>
            <c:ext xmlns:c16="http://schemas.microsoft.com/office/drawing/2014/chart" uri="{C3380CC4-5D6E-409C-BE32-E72D297353CC}">
              <c16:uniqueId val="{00000011-74D8-49DC-8408-92E865EF6BF1}"/>
            </c:ext>
          </c:extLst>
        </c:ser>
        <c:ser>
          <c:idx val="18"/>
          <c:order val="18"/>
          <c:tx>
            <c:strRef>
              <c:f>'Full Ranking'!$T$605</c:f>
              <c:strCache>
                <c:ptCount val="1"/>
                <c:pt idx="0">
                  <c:v>10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Ranking'!$T$606:$T$675</c:f>
              <c:numCache>
                <c:formatCode>#,##0</c:formatCode>
                <c:ptCount val="70"/>
                <c:pt idx="0">
                  <c:v>25</c:v>
                </c:pt>
                <c:pt idx="1">
                  <c:v>19</c:v>
                </c:pt>
                <c:pt idx="7">
                  <c:v>19</c:v>
                </c:pt>
                <c:pt idx="8">
                  <c:v>29</c:v>
                </c:pt>
                <c:pt idx="9">
                  <c:v>24</c:v>
                </c:pt>
                <c:pt idx="10">
                  <c:v>24</c:v>
                </c:pt>
                <c:pt idx="11">
                  <c:v>41</c:v>
                </c:pt>
                <c:pt idx="14">
                  <c:v>24</c:v>
                </c:pt>
                <c:pt idx="16">
                  <c:v>11</c:v>
                </c:pt>
                <c:pt idx="17">
                  <c:v>23</c:v>
                </c:pt>
                <c:pt idx="18">
                  <c:v>262</c:v>
                </c:pt>
                <c:pt idx="20">
                  <c:v>15</c:v>
                </c:pt>
                <c:pt idx="21" formatCode="0.0">
                  <c:v>69.069999999999993</c:v>
                </c:pt>
                <c:pt idx="22" formatCode="0.0">
                  <c:v>70.260000000000005</c:v>
                </c:pt>
                <c:pt idx="23" formatCode="0.0">
                  <c:v>69.37</c:v>
                </c:pt>
                <c:pt idx="24" formatCode="0.0">
                  <c:v>70.260000000000005</c:v>
                </c:pt>
                <c:pt idx="25" formatCode="0.0">
                  <c:v>69.97</c:v>
                </c:pt>
                <c:pt idx="26" formatCode="0.0">
                  <c:v>72.05</c:v>
                </c:pt>
                <c:pt idx="27" formatCode="0.0">
                  <c:v>72.349999999999994</c:v>
                </c:pt>
                <c:pt idx="28" formatCode="0.0">
                  <c:v>71.16</c:v>
                </c:pt>
                <c:pt idx="29" formatCode="0.0">
                  <c:v>69.37</c:v>
                </c:pt>
                <c:pt idx="30" formatCode="0.0">
                  <c:v>67.73</c:v>
                </c:pt>
                <c:pt idx="31" formatCode="0.0">
                  <c:v>63.86</c:v>
                </c:pt>
                <c:pt idx="32" formatCode="0.0">
                  <c:v>61.18</c:v>
                </c:pt>
                <c:pt idx="33" formatCode="0.0">
                  <c:v>60.29</c:v>
                </c:pt>
                <c:pt idx="34" formatCode="0.0">
                  <c:v>62.08</c:v>
                </c:pt>
                <c:pt idx="35" formatCode="0.0">
                  <c:v>64.16</c:v>
                </c:pt>
                <c:pt idx="36" formatCode="0.0">
                  <c:v>63.57</c:v>
                </c:pt>
                <c:pt idx="37" formatCode="0.0">
                  <c:v>62.52</c:v>
                </c:pt>
                <c:pt idx="38" formatCode="0.0">
                  <c:v>60.59</c:v>
                </c:pt>
                <c:pt idx="39" formatCode="0.0">
                  <c:v>59.7</c:v>
                </c:pt>
                <c:pt idx="40" formatCode="0.0">
                  <c:v>59.1</c:v>
                </c:pt>
                <c:pt idx="41" formatCode="0.0">
                  <c:v>57.91</c:v>
                </c:pt>
                <c:pt idx="42" formatCode="0.0">
                  <c:v>58.8</c:v>
                </c:pt>
                <c:pt idx="43" formatCode="0.0">
                  <c:v>61.18</c:v>
                </c:pt>
                <c:pt idx="44" formatCode="0.0">
                  <c:v>62.82</c:v>
                </c:pt>
                <c:pt idx="45" formatCode="0.0">
                  <c:v>62.23</c:v>
                </c:pt>
                <c:pt idx="46" formatCode="0.0">
                  <c:v>60.89</c:v>
                </c:pt>
                <c:pt idx="47" formatCode="0.0">
                  <c:v>58.95</c:v>
                </c:pt>
                <c:pt idx="48" formatCode="0.0">
                  <c:v>58.36</c:v>
                </c:pt>
                <c:pt idx="49" formatCode="0.0">
                  <c:v>58.5</c:v>
                </c:pt>
                <c:pt idx="50" formatCode="0.0">
                  <c:v>59.4</c:v>
                </c:pt>
                <c:pt idx="51" formatCode="0.0">
                  <c:v>58.95</c:v>
                </c:pt>
                <c:pt idx="52" formatCode="0.0">
                  <c:v>57.16</c:v>
                </c:pt>
                <c:pt idx="53" formatCode="0.0">
                  <c:v>55.82</c:v>
                </c:pt>
                <c:pt idx="54" formatCode="0.0">
                  <c:v>53.29</c:v>
                </c:pt>
                <c:pt idx="55" formatCode="0.0">
                  <c:v>50.91</c:v>
                </c:pt>
                <c:pt idx="56" formatCode="0.0">
                  <c:v>50.32</c:v>
                </c:pt>
                <c:pt idx="57" formatCode="0.0">
                  <c:v>49.42</c:v>
                </c:pt>
                <c:pt idx="58" formatCode="0.0">
                  <c:v>47.34</c:v>
                </c:pt>
                <c:pt idx="59" formatCode="0.0">
                  <c:v>46.45</c:v>
                </c:pt>
                <c:pt idx="60" formatCode="0.0">
                  <c:v>46.89</c:v>
                </c:pt>
                <c:pt idx="61" formatCode="0.0">
                  <c:v>46</c:v>
                </c:pt>
                <c:pt idx="62" formatCode="0.0">
                  <c:v>43.32</c:v>
                </c:pt>
                <c:pt idx="63" formatCode="0.0">
                  <c:v>43.77</c:v>
                </c:pt>
                <c:pt idx="64" formatCode="0.0">
                  <c:v>44.51</c:v>
                </c:pt>
                <c:pt idx="65" formatCode="0.0">
                  <c:v>44.06</c:v>
                </c:pt>
                <c:pt idx="66" formatCode="0.0">
                  <c:v>43.77</c:v>
                </c:pt>
                <c:pt idx="67" formatCode="0.0">
                  <c:v>44.06</c:v>
                </c:pt>
                <c:pt idx="68" formatCode="0.0">
                  <c:v>44.81</c:v>
                </c:pt>
                <c:pt idx="69" formatCode="0.0">
                  <c:v>45.85</c:v>
                </c:pt>
              </c:numCache>
            </c:numRef>
          </c:val>
          <c:smooth val="1"/>
          <c:extLst>
            <c:ext xmlns:c16="http://schemas.microsoft.com/office/drawing/2014/chart" uri="{C3380CC4-5D6E-409C-BE32-E72D297353CC}">
              <c16:uniqueId val="{00000012-74D8-49DC-8408-92E865EF6BF1}"/>
            </c:ext>
          </c:extLst>
        </c:ser>
        <c:ser>
          <c:idx val="19"/>
          <c:order val="19"/>
          <c:tx>
            <c:strRef>
              <c:f>'Full Ranking'!$U$605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Ranking'!$U$606:$U$675</c:f>
              <c:numCache>
                <c:formatCode>#,##0</c:formatCode>
                <c:ptCount val="70"/>
                <c:pt idx="0">
                  <c:v>30</c:v>
                </c:pt>
                <c:pt idx="1">
                  <c:v>19</c:v>
                </c:pt>
                <c:pt idx="7">
                  <c:v>21</c:v>
                </c:pt>
                <c:pt idx="8">
                  <c:v>32</c:v>
                </c:pt>
                <c:pt idx="9">
                  <c:v>23</c:v>
                </c:pt>
                <c:pt idx="10">
                  <c:v>19</c:v>
                </c:pt>
                <c:pt idx="11">
                  <c:v>40</c:v>
                </c:pt>
                <c:pt idx="14">
                  <c:v>24</c:v>
                </c:pt>
                <c:pt idx="17">
                  <c:v>25</c:v>
                </c:pt>
                <c:pt idx="18">
                  <c:v>276</c:v>
                </c:pt>
                <c:pt idx="20">
                  <c:v>13</c:v>
                </c:pt>
                <c:pt idx="21" formatCode="0.0">
                  <c:v>120.75</c:v>
                </c:pt>
                <c:pt idx="22" formatCode="0.0">
                  <c:v>116.73</c:v>
                </c:pt>
                <c:pt idx="23" formatCode="0.0">
                  <c:v>113.28</c:v>
                </c:pt>
                <c:pt idx="24" formatCode="0.0">
                  <c:v>112.7</c:v>
                </c:pt>
                <c:pt idx="25" formatCode="0.0">
                  <c:v>115.58</c:v>
                </c:pt>
                <c:pt idx="26" formatCode="0.0">
                  <c:v>115.58</c:v>
                </c:pt>
                <c:pt idx="27" formatCode="0.0">
                  <c:v>115.58</c:v>
                </c:pt>
                <c:pt idx="28" formatCode="0.0">
                  <c:v>108.1</c:v>
                </c:pt>
                <c:pt idx="29" formatCode="0.0">
                  <c:v>105.8</c:v>
                </c:pt>
                <c:pt idx="30" formatCode="0.0">
                  <c:v>105.23</c:v>
                </c:pt>
                <c:pt idx="31" formatCode="0.0">
                  <c:v>108.1</c:v>
                </c:pt>
                <c:pt idx="32" formatCode="0.0">
                  <c:v>101.78</c:v>
                </c:pt>
                <c:pt idx="33" formatCode="0.0">
                  <c:v>100.63</c:v>
                </c:pt>
                <c:pt idx="34" formatCode="0.0">
                  <c:v>105.23</c:v>
                </c:pt>
                <c:pt idx="35" formatCode="0.0">
                  <c:v>102.35</c:v>
                </c:pt>
                <c:pt idx="36" formatCode="0.0">
                  <c:v>100.63</c:v>
                </c:pt>
                <c:pt idx="37" formatCode="0.0">
                  <c:v>97.75</c:v>
                </c:pt>
                <c:pt idx="38" formatCode="0.0">
                  <c:v>93.73</c:v>
                </c:pt>
                <c:pt idx="39" formatCode="0.0">
                  <c:v>98.9</c:v>
                </c:pt>
                <c:pt idx="40" formatCode="0.0">
                  <c:v>100.05</c:v>
                </c:pt>
                <c:pt idx="41" formatCode="0.0">
                  <c:v>103.5</c:v>
                </c:pt>
                <c:pt idx="42" formatCode="0.0">
                  <c:v>103.5</c:v>
                </c:pt>
                <c:pt idx="43" formatCode="0.0">
                  <c:v>102.93</c:v>
                </c:pt>
                <c:pt idx="44" formatCode="0.0">
                  <c:v>102.93</c:v>
                </c:pt>
                <c:pt idx="45" formatCode="0.0">
                  <c:v>106.95</c:v>
                </c:pt>
                <c:pt idx="46" formatCode="0.0">
                  <c:v>107.53</c:v>
                </c:pt>
                <c:pt idx="47" formatCode="0.0">
                  <c:v>108.68</c:v>
                </c:pt>
                <c:pt idx="48" formatCode="0.0">
                  <c:v>110.4</c:v>
                </c:pt>
                <c:pt idx="49" formatCode="0.0">
                  <c:v>108.1</c:v>
                </c:pt>
                <c:pt idx="50" formatCode="0.0">
                  <c:v>110.98</c:v>
                </c:pt>
                <c:pt idx="51" formatCode="0.0">
                  <c:v>106.38</c:v>
                </c:pt>
                <c:pt idx="52" formatCode="0.0">
                  <c:v>107.53</c:v>
                </c:pt>
                <c:pt idx="53" formatCode="0.0">
                  <c:v>104.65</c:v>
                </c:pt>
                <c:pt idx="54" formatCode="0.0">
                  <c:v>104.08</c:v>
                </c:pt>
                <c:pt idx="55" formatCode="0.0">
                  <c:v>98.33</c:v>
                </c:pt>
                <c:pt idx="56" formatCode="0.0">
                  <c:v>94.88</c:v>
                </c:pt>
                <c:pt idx="57" formatCode="0.0">
                  <c:v>86.83</c:v>
                </c:pt>
                <c:pt idx="58" formatCode="0.0">
                  <c:v>82.23</c:v>
                </c:pt>
                <c:pt idx="59" formatCode="0.0">
                  <c:v>76.48</c:v>
                </c:pt>
                <c:pt idx="60" formatCode="0.0">
                  <c:v>73.03</c:v>
                </c:pt>
                <c:pt idx="61" formatCode="0.0">
                  <c:v>69.58</c:v>
                </c:pt>
                <c:pt idx="62" formatCode="0.0">
                  <c:v>64.98</c:v>
                </c:pt>
                <c:pt idx="63" formatCode="0.0">
                  <c:v>61.53</c:v>
                </c:pt>
                <c:pt idx="64" formatCode="0.0">
                  <c:v>55.78</c:v>
                </c:pt>
                <c:pt idx="65" formatCode="0.0">
                  <c:v>49.45</c:v>
                </c:pt>
                <c:pt idx="66" formatCode="0.0">
                  <c:v>47.73</c:v>
                </c:pt>
                <c:pt idx="67" formatCode="0.0">
                  <c:v>48.88</c:v>
                </c:pt>
                <c:pt idx="68" formatCode="0.0">
                  <c:v>47.15</c:v>
                </c:pt>
                <c:pt idx="69" formatCode="0.0">
                  <c:v>44.85</c:v>
                </c:pt>
              </c:numCache>
            </c:numRef>
          </c:val>
          <c:smooth val="1"/>
          <c:extLst>
            <c:ext xmlns:c16="http://schemas.microsoft.com/office/drawing/2014/chart" uri="{C3380CC4-5D6E-409C-BE32-E72D297353CC}">
              <c16:uniqueId val="{00000013-74D8-49DC-8408-92E865EF6BF1}"/>
            </c:ext>
          </c:extLst>
        </c:ser>
        <c:ser>
          <c:idx val="20"/>
          <c:order val="20"/>
          <c:tx>
            <c:strRef>
              <c:f>'Full Ranking'!$V$605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Ranking'!$V$606:$V$675</c:f>
              <c:numCache>
                <c:formatCode>#,##0</c:formatCode>
                <c:ptCount val="70"/>
                <c:pt idx="0">
                  <c:v>34</c:v>
                </c:pt>
                <c:pt idx="1">
                  <c:v>21</c:v>
                </c:pt>
                <c:pt idx="7">
                  <c:v>20</c:v>
                </c:pt>
                <c:pt idx="8">
                  <c:v>29</c:v>
                </c:pt>
                <c:pt idx="9">
                  <c:v>24</c:v>
                </c:pt>
                <c:pt idx="10">
                  <c:v>21</c:v>
                </c:pt>
                <c:pt idx="11">
                  <c:v>35</c:v>
                </c:pt>
                <c:pt idx="14">
                  <c:v>27</c:v>
                </c:pt>
                <c:pt idx="16">
                  <c:v>12</c:v>
                </c:pt>
                <c:pt idx="17">
                  <c:v>32</c:v>
                </c:pt>
                <c:pt idx="18">
                  <c:v>288</c:v>
                </c:pt>
                <c:pt idx="20">
                  <c:v>13</c:v>
                </c:pt>
                <c:pt idx="21" formatCode="0.0">
                  <c:v>21.06</c:v>
                </c:pt>
                <c:pt idx="22" formatCode="0.0">
                  <c:v>21.93</c:v>
                </c:pt>
                <c:pt idx="23" formatCode="0.0">
                  <c:v>27.2</c:v>
                </c:pt>
                <c:pt idx="24" formatCode="0.0">
                  <c:v>27.2</c:v>
                </c:pt>
                <c:pt idx="25" formatCode="0.0">
                  <c:v>30.71</c:v>
                </c:pt>
                <c:pt idx="26" formatCode="0.0">
                  <c:v>30.71</c:v>
                </c:pt>
                <c:pt idx="27" formatCode="0.0">
                  <c:v>32.46</c:v>
                </c:pt>
                <c:pt idx="28" formatCode="0.0">
                  <c:v>32.46</c:v>
                </c:pt>
                <c:pt idx="29" formatCode="0.0">
                  <c:v>34.22</c:v>
                </c:pt>
                <c:pt idx="30" formatCode="0.0">
                  <c:v>35.97</c:v>
                </c:pt>
                <c:pt idx="31" formatCode="0.0">
                  <c:v>36.85</c:v>
                </c:pt>
                <c:pt idx="32" formatCode="0.0">
                  <c:v>35.97</c:v>
                </c:pt>
                <c:pt idx="33" formatCode="0.0">
                  <c:v>35.97</c:v>
                </c:pt>
                <c:pt idx="34" formatCode="0.0">
                  <c:v>34.22</c:v>
                </c:pt>
                <c:pt idx="35" formatCode="0.0">
                  <c:v>29.83</c:v>
                </c:pt>
                <c:pt idx="36" formatCode="0.0">
                  <c:v>34.22</c:v>
                </c:pt>
                <c:pt idx="37" formatCode="0.0">
                  <c:v>35.090000000000003</c:v>
                </c:pt>
                <c:pt idx="38" formatCode="0.0">
                  <c:v>33.340000000000003</c:v>
                </c:pt>
                <c:pt idx="39" formatCode="0.0">
                  <c:v>33.340000000000003</c:v>
                </c:pt>
                <c:pt idx="40" formatCode="0.0">
                  <c:v>32.46</c:v>
                </c:pt>
                <c:pt idx="41" formatCode="0.0">
                  <c:v>34.22</c:v>
                </c:pt>
                <c:pt idx="42" formatCode="0.0">
                  <c:v>31.58</c:v>
                </c:pt>
                <c:pt idx="43" formatCode="0.0">
                  <c:v>36.85</c:v>
                </c:pt>
                <c:pt idx="44" formatCode="0.0">
                  <c:v>39.479999999999997</c:v>
                </c:pt>
                <c:pt idx="45" formatCode="0.0">
                  <c:v>38.6</c:v>
                </c:pt>
                <c:pt idx="46" formatCode="0.0">
                  <c:v>42.99</c:v>
                </c:pt>
                <c:pt idx="47" formatCode="0.0">
                  <c:v>46.5</c:v>
                </c:pt>
                <c:pt idx="48" formatCode="0.0">
                  <c:v>44.74</c:v>
                </c:pt>
                <c:pt idx="49" formatCode="0.0">
                  <c:v>44.74</c:v>
                </c:pt>
                <c:pt idx="50" formatCode="0.0">
                  <c:v>49.13</c:v>
                </c:pt>
                <c:pt idx="51" formatCode="0.0">
                  <c:v>50.89</c:v>
                </c:pt>
                <c:pt idx="52" formatCode="0.0">
                  <c:v>54.39</c:v>
                </c:pt>
                <c:pt idx="53" formatCode="0.0">
                  <c:v>51.76</c:v>
                </c:pt>
                <c:pt idx="54" formatCode="0.0">
                  <c:v>54.39</c:v>
                </c:pt>
                <c:pt idx="55" formatCode="0.0">
                  <c:v>51.76</c:v>
                </c:pt>
                <c:pt idx="56" formatCode="0.0">
                  <c:v>49.13</c:v>
                </c:pt>
                <c:pt idx="57" formatCode="0.0">
                  <c:v>53.52</c:v>
                </c:pt>
                <c:pt idx="58" formatCode="0.0">
                  <c:v>50.89</c:v>
                </c:pt>
                <c:pt idx="59" formatCode="0.0">
                  <c:v>47.38</c:v>
                </c:pt>
                <c:pt idx="60" formatCode="0.0">
                  <c:v>47.38</c:v>
                </c:pt>
                <c:pt idx="61" formatCode="0.0">
                  <c:v>46.5</c:v>
                </c:pt>
                <c:pt idx="62" formatCode="0.0">
                  <c:v>42.99</c:v>
                </c:pt>
                <c:pt idx="63" formatCode="0.0">
                  <c:v>45.62</c:v>
                </c:pt>
                <c:pt idx="64" formatCode="0.0">
                  <c:v>45.62</c:v>
                </c:pt>
                <c:pt idx="65" formatCode="0.0">
                  <c:v>44.74</c:v>
                </c:pt>
                <c:pt idx="66" formatCode="0.0">
                  <c:v>45.62</c:v>
                </c:pt>
                <c:pt idx="67" formatCode="0.0">
                  <c:v>44.74</c:v>
                </c:pt>
                <c:pt idx="68" formatCode="0.0">
                  <c:v>44.74</c:v>
                </c:pt>
                <c:pt idx="69" formatCode="0.0">
                  <c:v>42.99</c:v>
                </c:pt>
              </c:numCache>
            </c:numRef>
          </c:val>
          <c:smooth val="1"/>
          <c:extLst>
            <c:ext xmlns:c16="http://schemas.microsoft.com/office/drawing/2014/chart" uri="{C3380CC4-5D6E-409C-BE32-E72D297353CC}">
              <c16:uniqueId val="{00000014-74D8-49DC-8408-92E865EF6BF1}"/>
            </c:ext>
          </c:extLst>
        </c:ser>
        <c:ser>
          <c:idx val="21"/>
          <c:order val="21"/>
          <c:tx>
            <c:strRef>
              <c:f>'Full Ranking'!$W$605</c:f>
              <c:strCache>
                <c:ptCount val="1"/>
                <c:pt idx="0">
                  <c:v>10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Ranking'!$W$606:$W$675</c:f>
              <c:numCache>
                <c:formatCode>#,##0</c:formatCode>
                <c:ptCount val="70"/>
                <c:pt idx="0">
                  <c:v>34</c:v>
                </c:pt>
                <c:pt idx="1">
                  <c:v>25</c:v>
                </c:pt>
                <c:pt idx="7">
                  <c:v>23</c:v>
                </c:pt>
                <c:pt idx="8">
                  <c:v>25</c:v>
                </c:pt>
                <c:pt idx="9">
                  <c:v>22</c:v>
                </c:pt>
                <c:pt idx="10">
                  <c:v>25</c:v>
                </c:pt>
                <c:pt idx="11">
                  <c:v>28</c:v>
                </c:pt>
                <c:pt idx="14">
                  <c:v>21</c:v>
                </c:pt>
                <c:pt idx="16">
                  <c:v>16</c:v>
                </c:pt>
                <c:pt idx="17">
                  <c:v>33</c:v>
                </c:pt>
                <c:pt idx="18">
                  <c:v>303</c:v>
                </c:pt>
                <c:pt idx="20">
                  <c:v>14</c:v>
                </c:pt>
                <c:pt idx="21" formatCode="0.0">
                  <c:v>68.680000000000007</c:v>
                </c:pt>
                <c:pt idx="22" formatCode="0.0">
                  <c:v>71.14</c:v>
                </c:pt>
                <c:pt idx="23" formatCode="0.0">
                  <c:v>71.83</c:v>
                </c:pt>
                <c:pt idx="24" formatCode="0.0">
                  <c:v>72.510000000000005</c:v>
                </c:pt>
                <c:pt idx="25" formatCode="0.0">
                  <c:v>71.56</c:v>
                </c:pt>
                <c:pt idx="26" formatCode="0.0">
                  <c:v>74.02</c:v>
                </c:pt>
                <c:pt idx="27" formatCode="0.0">
                  <c:v>76.08</c:v>
                </c:pt>
                <c:pt idx="28" formatCode="0.0">
                  <c:v>74.430000000000007</c:v>
                </c:pt>
                <c:pt idx="29" formatCode="0.0">
                  <c:v>71.97</c:v>
                </c:pt>
                <c:pt idx="30" formatCode="0.0">
                  <c:v>70.73</c:v>
                </c:pt>
                <c:pt idx="31" formatCode="0.0">
                  <c:v>71.69</c:v>
                </c:pt>
                <c:pt idx="32" formatCode="0.0">
                  <c:v>69.77</c:v>
                </c:pt>
                <c:pt idx="33" formatCode="0.0">
                  <c:v>69.91</c:v>
                </c:pt>
                <c:pt idx="34" formatCode="0.0">
                  <c:v>69.36</c:v>
                </c:pt>
                <c:pt idx="35" formatCode="0.0">
                  <c:v>70.87</c:v>
                </c:pt>
                <c:pt idx="36" formatCode="0.0">
                  <c:v>73.89</c:v>
                </c:pt>
                <c:pt idx="37" formatCode="0.0">
                  <c:v>73.61</c:v>
                </c:pt>
                <c:pt idx="38" formatCode="0.0">
                  <c:v>72.099999999999994</c:v>
                </c:pt>
                <c:pt idx="39" formatCode="0.0">
                  <c:v>70.180000000000007</c:v>
                </c:pt>
                <c:pt idx="40" formatCode="0.0">
                  <c:v>72.650000000000006</c:v>
                </c:pt>
                <c:pt idx="41" formatCode="0.0">
                  <c:v>71.69</c:v>
                </c:pt>
                <c:pt idx="42" formatCode="0.0">
                  <c:v>74.430000000000007</c:v>
                </c:pt>
                <c:pt idx="43" formatCode="0.0">
                  <c:v>73.2</c:v>
                </c:pt>
                <c:pt idx="44" formatCode="0.0">
                  <c:v>76.760000000000005</c:v>
                </c:pt>
                <c:pt idx="45" formatCode="0.0">
                  <c:v>77.180000000000007</c:v>
                </c:pt>
                <c:pt idx="46" formatCode="0.0">
                  <c:v>76.63</c:v>
                </c:pt>
                <c:pt idx="47" formatCode="0.0">
                  <c:v>74.02</c:v>
                </c:pt>
                <c:pt idx="48" formatCode="0.0">
                  <c:v>73.06</c:v>
                </c:pt>
                <c:pt idx="49" formatCode="0.0">
                  <c:v>72.650000000000006</c:v>
                </c:pt>
                <c:pt idx="50" formatCode="0.0">
                  <c:v>71.97</c:v>
                </c:pt>
                <c:pt idx="51" formatCode="0.0">
                  <c:v>71.14</c:v>
                </c:pt>
                <c:pt idx="52" formatCode="0.0">
                  <c:v>67.72</c:v>
                </c:pt>
                <c:pt idx="53" formatCode="0.0">
                  <c:v>68.400000000000006</c:v>
                </c:pt>
                <c:pt idx="54" formatCode="0.0">
                  <c:v>66.48</c:v>
                </c:pt>
                <c:pt idx="55" formatCode="0.0">
                  <c:v>66.069999999999993</c:v>
                </c:pt>
                <c:pt idx="56" formatCode="0.0">
                  <c:v>62.92</c:v>
                </c:pt>
                <c:pt idx="57" formatCode="0.0">
                  <c:v>59.49</c:v>
                </c:pt>
                <c:pt idx="58" formatCode="0.0">
                  <c:v>56.48</c:v>
                </c:pt>
                <c:pt idx="59" formatCode="0.0">
                  <c:v>54.97</c:v>
                </c:pt>
                <c:pt idx="60" formatCode="0.0">
                  <c:v>54.01</c:v>
                </c:pt>
                <c:pt idx="61" formatCode="0.0">
                  <c:v>52.78</c:v>
                </c:pt>
                <c:pt idx="62" formatCode="0.0">
                  <c:v>50.99</c:v>
                </c:pt>
                <c:pt idx="63" formatCode="0.0">
                  <c:v>50.72</c:v>
                </c:pt>
                <c:pt idx="64" formatCode="0.0">
                  <c:v>49.49</c:v>
                </c:pt>
                <c:pt idx="65" formatCode="0.0">
                  <c:v>50.17</c:v>
                </c:pt>
                <c:pt idx="66" formatCode="0.0">
                  <c:v>48.25</c:v>
                </c:pt>
                <c:pt idx="67" formatCode="0.0">
                  <c:v>46.88</c:v>
                </c:pt>
                <c:pt idx="68" formatCode="0.0">
                  <c:v>44.14</c:v>
                </c:pt>
                <c:pt idx="69" formatCode="0.0">
                  <c:v>42.22</c:v>
                </c:pt>
              </c:numCache>
            </c:numRef>
          </c:val>
          <c:smooth val="1"/>
          <c:extLst>
            <c:ext xmlns:c16="http://schemas.microsoft.com/office/drawing/2014/chart" uri="{C3380CC4-5D6E-409C-BE32-E72D297353CC}">
              <c16:uniqueId val="{00000015-74D8-49DC-8408-92E865EF6BF1}"/>
            </c:ext>
          </c:extLst>
        </c:ser>
        <c:ser>
          <c:idx val="22"/>
          <c:order val="22"/>
          <c:tx>
            <c:strRef>
              <c:f>'Full Ranking'!$X$605</c:f>
              <c:strCache>
                <c:ptCount val="1"/>
                <c:pt idx="0">
                  <c:v>13</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Ranking'!$X$606:$X$675</c:f>
              <c:numCache>
                <c:formatCode>#,##0</c:formatCode>
                <c:ptCount val="70"/>
                <c:pt idx="0">
                  <c:v>36</c:v>
                </c:pt>
                <c:pt idx="1">
                  <c:v>28</c:v>
                </c:pt>
                <c:pt idx="7">
                  <c:v>26</c:v>
                </c:pt>
                <c:pt idx="8">
                  <c:v>22</c:v>
                </c:pt>
                <c:pt idx="9">
                  <c:v>24</c:v>
                </c:pt>
                <c:pt idx="10">
                  <c:v>24</c:v>
                </c:pt>
                <c:pt idx="11">
                  <c:v>18</c:v>
                </c:pt>
                <c:pt idx="14">
                  <c:v>23</c:v>
                </c:pt>
                <c:pt idx="16">
                  <c:v>15</c:v>
                </c:pt>
                <c:pt idx="17">
                  <c:v>35</c:v>
                </c:pt>
                <c:pt idx="18">
                  <c:v>299</c:v>
                </c:pt>
                <c:pt idx="20">
                  <c:v>17</c:v>
                </c:pt>
                <c:pt idx="21" formatCode="0.0">
                  <c:v>52.93</c:v>
                </c:pt>
                <c:pt idx="22" formatCode="0.0">
                  <c:v>54.74</c:v>
                </c:pt>
                <c:pt idx="23" formatCode="0.0">
                  <c:v>56.69</c:v>
                </c:pt>
                <c:pt idx="24" formatCode="0.0">
                  <c:v>58.93</c:v>
                </c:pt>
                <c:pt idx="25" formatCode="0.0">
                  <c:v>58.28</c:v>
                </c:pt>
                <c:pt idx="26" formatCode="0.0">
                  <c:v>58.71</c:v>
                </c:pt>
                <c:pt idx="27" formatCode="0.0">
                  <c:v>59.8</c:v>
                </c:pt>
                <c:pt idx="28" formatCode="0.0">
                  <c:v>59.29</c:v>
                </c:pt>
                <c:pt idx="29" formatCode="0.0">
                  <c:v>60.37</c:v>
                </c:pt>
                <c:pt idx="30" formatCode="0.0">
                  <c:v>60.3</c:v>
                </c:pt>
                <c:pt idx="31" formatCode="0.0">
                  <c:v>61.89</c:v>
                </c:pt>
                <c:pt idx="32" formatCode="0.0">
                  <c:v>62.47</c:v>
                </c:pt>
                <c:pt idx="33" formatCode="0.0">
                  <c:v>63.41</c:v>
                </c:pt>
                <c:pt idx="34" formatCode="0.0">
                  <c:v>62.54</c:v>
                </c:pt>
                <c:pt idx="35" formatCode="0.0">
                  <c:v>62.18</c:v>
                </c:pt>
                <c:pt idx="36" formatCode="0.0">
                  <c:v>63.05</c:v>
                </c:pt>
                <c:pt idx="37" formatCode="0.0">
                  <c:v>63.7</c:v>
                </c:pt>
                <c:pt idx="38" formatCode="0.0">
                  <c:v>63.84</c:v>
                </c:pt>
                <c:pt idx="39" formatCode="0.0">
                  <c:v>63.41</c:v>
                </c:pt>
                <c:pt idx="40" formatCode="0.0">
                  <c:v>64.13</c:v>
                </c:pt>
                <c:pt idx="41" formatCode="0.0">
                  <c:v>63.41</c:v>
                </c:pt>
                <c:pt idx="42" formatCode="0.0">
                  <c:v>64.709999999999994</c:v>
                </c:pt>
                <c:pt idx="43" formatCode="0.0">
                  <c:v>64.56</c:v>
                </c:pt>
                <c:pt idx="44" formatCode="0.0">
                  <c:v>64.989999999999995</c:v>
                </c:pt>
                <c:pt idx="45" formatCode="0.0">
                  <c:v>63.7</c:v>
                </c:pt>
                <c:pt idx="46" formatCode="0.0">
                  <c:v>65.069999999999993</c:v>
                </c:pt>
                <c:pt idx="47" formatCode="0.0">
                  <c:v>64.56</c:v>
                </c:pt>
                <c:pt idx="48" formatCode="0.0">
                  <c:v>63.12</c:v>
                </c:pt>
                <c:pt idx="49" formatCode="0.0">
                  <c:v>62.47</c:v>
                </c:pt>
                <c:pt idx="50" formatCode="0.0">
                  <c:v>63.12</c:v>
                </c:pt>
                <c:pt idx="51" formatCode="0.0">
                  <c:v>62.32</c:v>
                </c:pt>
                <c:pt idx="52" formatCode="0.0">
                  <c:v>61.53</c:v>
                </c:pt>
                <c:pt idx="53" formatCode="0.0">
                  <c:v>60.81</c:v>
                </c:pt>
                <c:pt idx="54" formatCode="0.0">
                  <c:v>57.85</c:v>
                </c:pt>
                <c:pt idx="55" formatCode="0.0">
                  <c:v>56.26</c:v>
                </c:pt>
                <c:pt idx="56" formatCode="0.0">
                  <c:v>54.23</c:v>
                </c:pt>
                <c:pt idx="57" formatCode="0.0">
                  <c:v>54.67</c:v>
                </c:pt>
                <c:pt idx="58" formatCode="0.0">
                  <c:v>51.78</c:v>
                </c:pt>
                <c:pt idx="59" formatCode="0.0">
                  <c:v>50.84</c:v>
                </c:pt>
                <c:pt idx="60" formatCode="0.0">
                  <c:v>49.25</c:v>
                </c:pt>
                <c:pt idx="61" formatCode="0.0">
                  <c:v>47.74</c:v>
                </c:pt>
                <c:pt idx="62" formatCode="0.0">
                  <c:v>45.93</c:v>
                </c:pt>
                <c:pt idx="63" formatCode="0.0">
                  <c:v>45.64</c:v>
                </c:pt>
                <c:pt idx="64" formatCode="0.0">
                  <c:v>44.49</c:v>
                </c:pt>
                <c:pt idx="65" formatCode="0.0">
                  <c:v>43.69</c:v>
                </c:pt>
                <c:pt idx="66" formatCode="0.0">
                  <c:v>42.9</c:v>
                </c:pt>
                <c:pt idx="67" formatCode="0.0">
                  <c:v>43.33</c:v>
                </c:pt>
                <c:pt idx="68" formatCode="0.0">
                  <c:v>42.39</c:v>
                </c:pt>
                <c:pt idx="69" formatCode="0.0">
                  <c:v>42.03</c:v>
                </c:pt>
              </c:numCache>
            </c:numRef>
          </c:val>
          <c:smooth val="1"/>
          <c:extLst>
            <c:ext xmlns:c16="http://schemas.microsoft.com/office/drawing/2014/chart" uri="{C3380CC4-5D6E-409C-BE32-E72D297353CC}">
              <c16:uniqueId val="{00000016-74D8-49DC-8408-92E865EF6BF1}"/>
            </c:ext>
          </c:extLst>
        </c:ser>
        <c:ser>
          <c:idx val="23"/>
          <c:order val="23"/>
          <c:tx>
            <c:strRef>
              <c:f>'Full Ranking'!$Y$605</c:f>
              <c:strCache>
                <c:ptCount val="1"/>
                <c:pt idx="0">
                  <c:v>16</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Ranking'!$Y$606:$Y$675</c:f>
              <c:numCache>
                <c:formatCode>#,##0</c:formatCode>
                <c:ptCount val="70"/>
                <c:pt idx="0">
                  <c:v>32</c:v>
                </c:pt>
                <c:pt idx="1">
                  <c:v>33</c:v>
                </c:pt>
                <c:pt idx="7">
                  <c:v>26</c:v>
                </c:pt>
                <c:pt idx="8">
                  <c:v>25</c:v>
                </c:pt>
                <c:pt idx="9">
                  <c:v>25</c:v>
                </c:pt>
                <c:pt idx="10">
                  <c:v>24</c:v>
                </c:pt>
                <c:pt idx="11">
                  <c:v>19</c:v>
                </c:pt>
                <c:pt idx="14">
                  <c:v>20</c:v>
                </c:pt>
                <c:pt idx="16">
                  <c:v>21</c:v>
                </c:pt>
                <c:pt idx="17">
                  <c:v>33</c:v>
                </c:pt>
                <c:pt idx="18">
                  <c:v>292</c:v>
                </c:pt>
                <c:pt idx="20">
                  <c:v>14</c:v>
                </c:pt>
                <c:pt idx="21" formatCode="0.0">
                  <c:v>40.619999999999997</c:v>
                </c:pt>
                <c:pt idx="22" formatCode="0.0">
                  <c:v>38.270000000000003</c:v>
                </c:pt>
                <c:pt idx="23" formatCode="0.0">
                  <c:v>40.619999999999997</c:v>
                </c:pt>
                <c:pt idx="24" formatCode="0.0">
                  <c:v>41.8</c:v>
                </c:pt>
                <c:pt idx="25" formatCode="0.0">
                  <c:v>42.39</c:v>
                </c:pt>
                <c:pt idx="26" formatCode="0.0">
                  <c:v>39.44</c:v>
                </c:pt>
                <c:pt idx="27" formatCode="0.0">
                  <c:v>37.68</c:v>
                </c:pt>
                <c:pt idx="28" formatCode="0.0">
                  <c:v>40.619999999999997</c:v>
                </c:pt>
                <c:pt idx="29" formatCode="0.0">
                  <c:v>40.03</c:v>
                </c:pt>
                <c:pt idx="30" formatCode="0.0">
                  <c:v>38.270000000000003</c:v>
                </c:pt>
                <c:pt idx="31" formatCode="0.0">
                  <c:v>40.619999999999997</c:v>
                </c:pt>
                <c:pt idx="32" formatCode="0.0">
                  <c:v>43.56</c:v>
                </c:pt>
                <c:pt idx="33" formatCode="0.0">
                  <c:v>45.92</c:v>
                </c:pt>
                <c:pt idx="34" formatCode="0.0">
                  <c:v>49.45</c:v>
                </c:pt>
                <c:pt idx="35" formatCode="0.0">
                  <c:v>48.86</c:v>
                </c:pt>
                <c:pt idx="36" formatCode="0.0">
                  <c:v>46.51</c:v>
                </c:pt>
                <c:pt idx="37" formatCode="0.0">
                  <c:v>45.92</c:v>
                </c:pt>
                <c:pt idx="38" formatCode="0.0">
                  <c:v>47.1</c:v>
                </c:pt>
                <c:pt idx="39" formatCode="0.0">
                  <c:v>47.1</c:v>
                </c:pt>
                <c:pt idx="40" formatCode="0.0">
                  <c:v>44.74</c:v>
                </c:pt>
                <c:pt idx="41" formatCode="0.0">
                  <c:v>44.15</c:v>
                </c:pt>
                <c:pt idx="42" formatCode="0.0">
                  <c:v>46.51</c:v>
                </c:pt>
                <c:pt idx="43" formatCode="0.0">
                  <c:v>48.86</c:v>
                </c:pt>
                <c:pt idx="44" formatCode="0.0">
                  <c:v>47.1</c:v>
                </c:pt>
                <c:pt idx="45" formatCode="0.0">
                  <c:v>44.15</c:v>
                </c:pt>
                <c:pt idx="46" formatCode="0.0">
                  <c:v>41.8</c:v>
                </c:pt>
                <c:pt idx="47" formatCode="0.0">
                  <c:v>40.619999999999997</c:v>
                </c:pt>
                <c:pt idx="48" formatCode="0.0">
                  <c:v>41.21</c:v>
                </c:pt>
                <c:pt idx="49" formatCode="0.0">
                  <c:v>40.619999999999997</c:v>
                </c:pt>
                <c:pt idx="50" formatCode="0.0">
                  <c:v>39.44</c:v>
                </c:pt>
                <c:pt idx="51" formatCode="0.0">
                  <c:v>37.68</c:v>
                </c:pt>
                <c:pt idx="52" formatCode="0.0">
                  <c:v>38.85</c:v>
                </c:pt>
                <c:pt idx="53" formatCode="0.0">
                  <c:v>37.68</c:v>
                </c:pt>
                <c:pt idx="54" formatCode="0.0">
                  <c:v>37.090000000000003</c:v>
                </c:pt>
                <c:pt idx="55" formatCode="0.0">
                  <c:v>34.14</c:v>
                </c:pt>
                <c:pt idx="56" formatCode="0.0">
                  <c:v>33.56</c:v>
                </c:pt>
                <c:pt idx="57" formatCode="0.0">
                  <c:v>35.909999999999997</c:v>
                </c:pt>
                <c:pt idx="58" formatCode="0.0">
                  <c:v>36.5</c:v>
                </c:pt>
                <c:pt idx="59" formatCode="0.0">
                  <c:v>36.5</c:v>
                </c:pt>
                <c:pt idx="60" formatCode="0.0">
                  <c:v>35.32</c:v>
                </c:pt>
                <c:pt idx="61" formatCode="0.0">
                  <c:v>35.32</c:v>
                </c:pt>
                <c:pt idx="62" formatCode="0.0">
                  <c:v>37.68</c:v>
                </c:pt>
                <c:pt idx="63" formatCode="0.0">
                  <c:v>40.03</c:v>
                </c:pt>
                <c:pt idx="64" formatCode="0.0">
                  <c:v>38.270000000000003</c:v>
                </c:pt>
                <c:pt idx="65" formatCode="0.0">
                  <c:v>38.270000000000003</c:v>
                </c:pt>
                <c:pt idx="66" formatCode="0.0">
                  <c:v>38.85</c:v>
                </c:pt>
                <c:pt idx="67" formatCode="0.0">
                  <c:v>40.619999999999997</c:v>
                </c:pt>
                <c:pt idx="68" formatCode="0.0">
                  <c:v>41.8</c:v>
                </c:pt>
                <c:pt idx="69" formatCode="0.0">
                  <c:v>41.21</c:v>
                </c:pt>
              </c:numCache>
            </c:numRef>
          </c:val>
          <c:smooth val="1"/>
          <c:extLst>
            <c:ext xmlns:c16="http://schemas.microsoft.com/office/drawing/2014/chart" uri="{C3380CC4-5D6E-409C-BE32-E72D297353CC}">
              <c16:uniqueId val="{00000017-74D8-49DC-8408-92E865EF6BF1}"/>
            </c:ext>
          </c:extLst>
        </c:ser>
        <c:ser>
          <c:idx val="24"/>
          <c:order val="24"/>
          <c:tx>
            <c:strRef>
              <c:f>'Full Ranking'!$Z$605</c:f>
              <c:strCache>
                <c:ptCount val="1"/>
                <c:pt idx="0">
                  <c:v>17</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Ranking'!$Z$606:$Z$675</c:f>
              <c:numCache>
                <c:formatCode>#,##0</c:formatCode>
                <c:ptCount val="70"/>
                <c:pt idx="0">
                  <c:v>35</c:v>
                </c:pt>
                <c:pt idx="1">
                  <c:v>33</c:v>
                </c:pt>
                <c:pt idx="7">
                  <c:v>26</c:v>
                </c:pt>
                <c:pt idx="8">
                  <c:v>23</c:v>
                </c:pt>
                <c:pt idx="9">
                  <c:v>21</c:v>
                </c:pt>
                <c:pt idx="10">
                  <c:v>21</c:v>
                </c:pt>
                <c:pt idx="11">
                  <c:v>18</c:v>
                </c:pt>
                <c:pt idx="14">
                  <c:v>17</c:v>
                </c:pt>
                <c:pt idx="16">
                  <c:v>22</c:v>
                </c:pt>
                <c:pt idx="17">
                  <c:v>27</c:v>
                </c:pt>
                <c:pt idx="18">
                  <c:v>284</c:v>
                </c:pt>
                <c:pt idx="20">
                  <c:v>13</c:v>
                </c:pt>
                <c:pt idx="21" formatCode="0.0">
                  <c:v>56.97</c:v>
                </c:pt>
                <c:pt idx="22" formatCode="0.0">
                  <c:v>58.04</c:v>
                </c:pt>
                <c:pt idx="23" formatCode="0.0">
                  <c:v>55.89</c:v>
                </c:pt>
                <c:pt idx="24" formatCode="0.0">
                  <c:v>55.53</c:v>
                </c:pt>
                <c:pt idx="25" formatCode="0.0">
                  <c:v>55.89</c:v>
                </c:pt>
                <c:pt idx="26" formatCode="0.0">
                  <c:v>57.32</c:v>
                </c:pt>
                <c:pt idx="27" formatCode="0.0">
                  <c:v>56.97</c:v>
                </c:pt>
                <c:pt idx="28" formatCode="0.0">
                  <c:v>57.32</c:v>
                </c:pt>
                <c:pt idx="29" formatCode="0.0">
                  <c:v>57.68</c:v>
                </c:pt>
                <c:pt idx="30" formatCode="0.0">
                  <c:v>59.47</c:v>
                </c:pt>
                <c:pt idx="31" formatCode="0.0">
                  <c:v>61.27</c:v>
                </c:pt>
                <c:pt idx="32" formatCode="0.0">
                  <c:v>62.7</c:v>
                </c:pt>
                <c:pt idx="33" formatCode="0.0">
                  <c:v>65.209999999999994</c:v>
                </c:pt>
                <c:pt idx="34" formatCode="0.0">
                  <c:v>64.13</c:v>
                </c:pt>
                <c:pt idx="35" formatCode="0.0">
                  <c:v>67.36</c:v>
                </c:pt>
                <c:pt idx="36" formatCode="0.0">
                  <c:v>70.22</c:v>
                </c:pt>
                <c:pt idx="37" formatCode="0.0">
                  <c:v>70.94</c:v>
                </c:pt>
                <c:pt idx="38" formatCode="0.0">
                  <c:v>71.66</c:v>
                </c:pt>
                <c:pt idx="39" formatCode="0.0">
                  <c:v>74.16</c:v>
                </c:pt>
                <c:pt idx="40" formatCode="0.0">
                  <c:v>74.16</c:v>
                </c:pt>
                <c:pt idx="41" formatCode="0.0">
                  <c:v>73.09</c:v>
                </c:pt>
                <c:pt idx="42" formatCode="0.0">
                  <c:v>71.66</c:v>
                </c:pt>
                <c:pt idx="43" formatCode="0.0">
                  <c:v>69.510000000000005</c:v>
                </c:pt>
                <c:pt idx="44" formatCode="0.0">
                  <c:v>67.36</c:v>
                </c:pt>
                <c:pt idx="45" formatCode="0.0">
                  <c:v>65.209999999999994</c:v>
                </c:pt>
                <c:pt idx="46" formatCode="0.0">
                  <c:v>63.77</c:v>
                </c:pt>
                <c:pt idx="47" formatCode="0.0">
                  <c:v>61.98</c:v>
                </c:pt>
                <c:pt idx="48" formatCode="0.0">
                  <c:v>57.32</c:v>
                </c:pt>
                <c:pt idx="49" formatCode="0.0">
                  <c:v>57.68</c:v>
                </c:pt>
                <c:pt idx="50" formatCode="0.0">
                  <c:v>54.82</c:v>
                </c:pt>
                <c:pt idx="51" formatCode="0.0">
                  <c:v>51.59</c:v>
                </c:pt>
                <c:pt idx="52" formatCode="0.0">
                  <c:v>50.88</c:v>
                </c:pt>
                <c:pt idx="53" formatCode="0.0">
                  <c:v>53.02</c:v>
                </c:pt>
                <c:pt idx="54" formatCode="0.0">
                  <c:v>50.88</c:v>
                </c:pt>
                <c:pt idx="55" formatCode="0.0">
                  <c:v>52.67</c:v>
                </c:pt>
                <c:pt idx="56" formatCode="0.0">
                  <c:v>53.02</c:v>
                </c:pt>
                <c:pt idx="57" formatCode="0.0">
                  <c:v>51.59</c:v>
                </c:pt>
                <c:pt idx="58" formatCode="0.0">
                  <c:v>53.38</c:v>
                </c:pt>
                <c:pt idx="59" formatCode="0.0">
                  <c:v>53.02</c:v>
                </c:pt>
                <c:pt idx="60" formatCode="0.0">
                  <c:v>53.38</c:v>
                </c:pt>
                <c:pt idx="61" formatCode="0.0">
                  <c:v>50.52</c:v>
                </c:pt>
                <c:pt idx="62" formatCode="0.0">
                  <c:v>49.8</c:v>
                </c:pt>
                <c:pt idx="63" formatCode="0.0">
                  <c:v>49.44</c:v>
                </c:pt>
                <c:pt idx="64" formatCode="0.0">
                  <c:v>45.5</c:v>
                </c:pt>
                <c:pt idx="65" formatCode="0.0">
                  <c:v>43.35</c:v>
                </c:pt>
                <c:pt idx="66" formatCode="0.0">
                  <c:v>43.35</c:v>
                </c:pt>
                <c:pt idx="67" formatCode="0.0">
                  <c:v>40.49</c:v>
                </c:pt>
                <c:pt idx="68" formatCode="0.0">
                  <c:v>39.049999999999997</c:v>
                </c:pt>
                <c:pt idx="69" formatCode="0.0">
                  <c:v>39.770000000000003</c:v>
                </c:pt>
              </c:numCache>
            </c:numRef>
          </c:val>
          <c:smooth val="1"/>
          <c:extLst>
            <c:ext xmlns:c16="http://schemas.microsoft.com/office/drawing/2014/chart" uri="{C3380CC4-5D6E-409C-BE32-E72D297353CC}">
              <c16:uniqueId val="{00000018-74D8-49DC-8408-92E865EF6BF1}"/>
            </c:ext>
          </c:extLst>
        </c:ser>
        <c:ser>
          <c:idx val="25"/>
          <c:order val="25"/>
          <c:tx>
            <c:strRef>
              <c:f>'Full Ranking'!$AA$605</c:f>
              <c:strCache>
                <c:ptCount val="1"/>
                <c:pt idx="0">
                  <c:v>13</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Ranking'!$AA$606:$AA$675</c:f>
              <c:numCache>
                <c:formatCode>#,##0</c:formatCode>
                <c:ptCount val="70"/>
                <c:pt idx="0">
                  <c:v>34</c:v>
                </c:pt>
                <c:pt idx="1">
                  <c:v>34</c:v>
                </c:pt>
                <c:pt idx="7">
                  <c:v>28</c:v>
                </c:pt>
                <c:pt idx="8">
                  <c:v>24</c:v>
                </c:pt>
                <c:pt idx="9">
                  <c:v>22</c:v>
                </c:pt>
                <c:pt idx="10">
                  <c:v>15</c:v>
                </c:pt>
                <c:pt idx="11">
                  <c:v>17</c:v>
                </c:pt>
                <c:pt idx="14">
                  <c:v>23</c:v>
                </c:pt>
                <c:pt idx="15">
                  <c:v>10</c:v>
                </c:pt>
                <c:pt idx="16">
                  <c:v>22</c:v>
                </c:pt>
                <c:pt idx="17">
                  <c:v>25</c:v>
                </c:pt>
                <c:pt idx="18">
                  <c:v>253</c:v>
                </c:pt>
                <c:pt idx="20">
                  <c:v>12</c:v>
                </c:pt>
                <c:pt idx="21" formatCode="0.0">
                  <c:v>51.02</c:v>
                </c:pt>
                <c:pt idx="22" formatCode="0.0">
                  <c:v>53.74</c:v>
                </c:pt>
                <c:pt idx="23" formatCode="0.0">
                  <c:v>53.74</c:v>
                </c:pt>
                <c:pt idx="24" formatCode="0.0">
                  <c:v>53.06</c:v>
                </c:pt>
                <c:pt idx="25" formatCode="0.0">
                  <c:v>53.06</c:v>
                </c:pt>
                <c:pt idx="26" formatCode="0.0">
                  <c:v>54.42</c:v>
                </c:pt>
                <c:pt idx="27" formatCode="0.0">
                  <c:v>53.06</c:v>
                </c:pt>
                <c:pt idx="28" formatCode="0.0">
                  <c:v>51.02</c:v>
                </c:pt>
                <c:pt idx="29" formatCode="0.0">
                  <c:v>52.38</c:v>
                </c:pt>
                <c:pt idx="30" formatCode="0.0">
                  <c:v>51.7</c:v>
                </c:pt>
                <c:pt idx="31" formatCode="0.0">
                  <c:v>54.42</c:v>
                </c:pt>
                <c:pt idx="32" formatCode="0.0">
                  <c:v>51.7</c:v>
                </c:pt>
                <c:pt idx="33" formatCode="0.0">
                  <c:v>51.7</c:v>
                </c:pt>
                <c:pt idx="34" formatCode="0.0">
                  <c:v>47.62</c:v>
                </c:pt>
                <c:pt idx="35" formatCode="0.0">
                  <c:v>48.98</c:v>
                </c:pt>
                <c:pt idx="36" formatCode="0.0">
                  <c:v>52.38</c:v>
                </c:pt>
                <c:pt idx="37" formatCode="0.0">
                  <c:v>55.1</c:v>
                </c:pt>
                <c:pt idx="38" formatCode="0.0">
                  <c:v>55.1</c:v>
                </c:pt>
                <c:pt idx="39" formatCode="0.0">
                  <c:v>57.14</c:v>
                </c:pt>
                <c:pt idx="40" formatCode="0.0">
                  <c:v>57.82</c:v>
                </c:pt>
                <c:pt idx="41" formatCode="0.0">
                  <c:v>55.1</c:v>
                </c:pt>
                <c:pt idx="42" formatCode="0.0">
                  <c:v>56.46</c:v>
                </c:pt>
                <c:pt idx="43" formatCode="0.0">
                  <c:v>55.1</c:v>
                </c:pt>
                <c:pt idx="44" formatCode="0.0">
                  <c:v>57.14</c:v>
                </c:pt>
                <c:pt idx="45" formatCode="0.0">
                  <c:v>61.9</c:v>
                </c:pt>
                <c:pt idx="46" formatCode="0.0">
                  <c:v>60.54</c:v>
                </c:pt>
                <c:pt idx="47" formatCode="0.0">
                  <c:v>59.18</c:v>
                </c:pt>
                <c:pt idx="48" formatCode="0.0">
                  <c:v>57.14</c:v>
                </c:pt>
                <c:pt idx="49" formatCode="0.0">
                  <c:v>56.46</c:v>
                </c:pt>
                <c:pt idx="50" formatCode="0.0">
                  <c:v>57.82</c:v>
                </c:pt>
                <c:pt idx="51" formatCode="0.0">
                  <c:v>57.14</c:v>
                </c:pt>
                <c:pt idx="52" formatCode="0.0">
                  <c:v>57.14</c:v>
                </c:pt>
                <c:pt idx="53" formatCode="0.0">
                  <c:v>54.42</c:v>
                </c:pt>
                <c:pt idx="54" formatCode="0.0">
                  <c:v>52.38</c:v>
                </c:pt>
                <c:pt idx="55" formatCode="0.0">
                  <c:v>51.02</c:v>
                </c:pt>
                <c:pt idx="56" formatCode="0.0">
                  <c:v>46.94</c:v>
                </c:pt>
                <c:pt idx="57" formatCode="0.0">
                  <c:v>42.86</c:v>
                </c:pt>
                <c:pt idx="58" formatCode="0.0">
                  <c:v>44.9</c:v>
                </c:pt>
                <c:pt idx="59" formatCode="0.0">
                  <c:v>49.66</c:v>
                </c:pt>
                <c:pt idx="60" formatCode="0.0">
                  <c:v>46.94</c:v>
                </c:pt>
                <c:pt idx="61" formatCode="0.0">
                  <c:v>42.18</c:v>
                </c:pt>
                <c:pt idx="62" formatCode="0.0">
                  <c:v>41.5</c:v>
                </c:pt>
                <c:pt idx="63" formatCode="0.0">
                  <c:v>42.18</c:v>
                </c:pt>
                <c:pt idx="64" formatCode="0.0">
                  <c:v>42.18</c:v>
                </c:pt>
                <c:pt idx="65" formatCode="0.0">
                  <c:v>39.46</c:v>
                </c:pt>
                <c:pt idx="66" formatCode="0.0">
                  <c:v>42.18</c:v>
                </c:pt>
                <c:pt idx="67" formatCode="0.0">
                  <c:v>41.5</c:v>
                </c:pt>
                <c:pt idx="68" formatCode="0.0">
                  <c:v>40.82</c:v>
                </c:pt>
                <c:pt idx="69" formatCode="0.0">
                  <c:v>39.46</c:v>
                </c:pt>
              </c:numCache>
            </c:numRef>
          </c:val>
          <c:smooth val="1"/>
          <c:extLst>
            <c:ext xmlns:c16="http://schemas.microsoft.com/office/drawing/2014/chart" uri="{C3380CC4-5D6E-409C-BE32-E72D297353CC}">
              <c16:uniqueId val="{00000019-74D8-49DC-8408-92E865EF6BF1}"/>
            </c:ext>
          </c:extLst>
        </c:ser>
        <c:ser>
          <c:idx val="26"/>
          <c:order val="26"/>
          <c:tx>
            <c:strRef>
              <c:f>'Full Ranking'!$AB$605</c:f>
              <c:strCache>
                <c:ptCount val="1"/>
                <c:pt idx="0">
                  <c:v>13</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Ranking'!$AB$606:$AB$675</c:f>
              <c:numCache>
                <c:formatCode>#,##0</c:formatCode>
                <c:ptCount val="70"/>
                <c:pt idx="0">
                  <c:v>29</c:v>
                </c:pt>
                <c:pt idx="1">
                  <c:v>32</c:v>
                </c:pt>
                <c:pt idx="7">
                  <c:v>23</c:v>
                </c:pt>
                <c:pt idx="8">
                  <c:v>21</c:v>
                </c:pt>
                <c:pt idx="9">
                  <c:v>19</c:v>
                </c:pt>
                <c:pt idx="10">
                  <c:v>13</c:v>
                </c:pt>
                <c:pt idx="11">
                  <c:v>17</c:v>
                </c:pt>
                <c:pt idx="14">
                  <c:v>23</c:v>
                </c:pt>
                <c:pt idx="16">
                  <c:v>20</c:v>
                </c:pt>
                <c:pt idx="17">
                  <c:v>23</c:v>
                </c:pt>
                <c:pt idx="18">
                  <c:v>253</c:v>
                </c:pt>
                <c:pt idx="20">
                  <c:v>10</c:v>
                </c:pt>
                <c:pt idx="21" formatCode="0.0">
                  <c:v>26.49</c:v>
                </c:pt>
                <c:pt idx="22" formatCode="0.0">
                  <c:v>27.31</c:v>
                </c:pt>
                <c:pt idx="23" formatCode="0.0">
                  <c:v>27.9</c:v>
                </c:pt>
                <c:pt idx="24" formatCode="0.0">
                  <c:v>28.5</c:v>
                </c:pt>
                <c:pt idx="25" formatCode="0.0">
                  <c:v>28.8</c:v>
                </c:pt>
                <c:pt idx="26" formatCode="0.0">
                  <c:v>28.93</c:v>
                </c:pt>
                <c:pt idx="27" formatCode="0.0">
                  <c:v>29.27</c:v>
                </c:pt>
                <c:pt idx="28" formatCode="0.0">
                  <c:v>29.14</c:v>
                </c:pt>
                <c:pt idx="29" formatCode="0.0">
                  <c:v>29.01</c:v>
                </c:pt>
                <c:pt idx="30" formatCode="0.0">
                  <c:v>29.01</c:v>
                </c:pt>
                <c:pt idx="31" formatCode="0.0">
                  <c:v>29.66</c:v>
                </c:pt>
                <c:pt idx="32" formatCode="0.0">
                  <c:v>32.130000000000003</c:v>
                </c:pt>
                <c:pt idx="33" formatCode="0.0">
                  <c:v>33.159999999999997</c:v>
                </c:pt>
                <c:pt idx="34" formatCode="0.0">
                  <c:v>34.4</c:v>
                </c:pt>
                <c:pt idx="35" formatCode="0.0">
                  <c:v>36.49</c:v>
                </c:pt>
                <c:pt idx="36" formatCode="0.0">
                  <c:v>39.1</c:v>
                </c:pt>
                <c:pt idx="37" formatCode="0.0">
                  <c:v>41.53</c:v>
                </c:pt>
                <c:pt idx="38" formatCode="0.0">
                  <c:v>42.65</c:v>
                </c:pt>
                <c:pt idx="39" formatCode="0.0">
                  <c:v>#N/A</c:v>
                </c:pt>
                <c:pt idx="40" formatCode="0.0">
                  <c:v>#N/A</c:v>
                </c:pt>
                <c:pt idx="41" formatCode="0.0">
                  <c:v>#N/A</c:v>
                </c:pt>
                <c:pt idx="42" formatCode="0.0">
                  <c:v>#N/A</c:v>
                </c:pt>
                <c:pt idx="43" formatCode="0.0">
                  <c:v>#N/A</c:v>
                </c:pt>
                <c:pt idx="44" formatCode="0.0">
                  <c:v>#N/A</c:v>
                </c:pt>
                <c:pt idx="45" formatCode="0.0">
                  <c:v>#N/A</c:v>
                </c:pt>
                <c:pt idx="46" formatCode="0.0">
                  <c:v>#N/A</c:v>
                </c:pt>
                <c:pt idx="47" formatCode="0.0">
                  <c:v>#N/A</c:v>
                </c:pt>
                <c:pt idx="48" formatCode="0.0">
                  <c:v>#N/A</c:v>
                </c:pt>
                <c:pt idx="49" formatCode="0.0">
                  <c:v>#N/A</c:v>
                </c:pt>
                <c:pt idx="50" formatCode="0.0">
                  <c:v>#N/A</c:v>
                </c:pt>
                <c:pt idx="51" formatCode="0.0">
                  <c:v>#N/A</c:v>
                </c:pt>
                <c:pt idx="52" formatCode="0.0">
                  <c:v>#N/A</c:v>
                </c:pt>
                <c:pt idx="53" formatCode="0.0">
                  <c:v>#N/A</c:v>
                </c:pt>
                <c:pt idx="54" formatCode="0.0">
                  <c:v>#N/A</c:v>
                </c:pt>
                <c:pt idx="55" formatCode="0.0">
                  <c:v>#N/A</c:v>
                </c:pt>
                <c:pt idx="56" formatCode="0.0">
                  <c:v>#N/A</c:v>
                </c:pt>
                <c:pt idx="57" formatCode="0.0">
                  <c:v>#N/A</c:v>
                </c:pt>
                <c:pt idx="58" formatCode="0.0">
                  <c:v>41.24</c:v>
                </c:pt>
                <c:pt idx="59" formatCode="0.0">
                  <c:v>41.06</c:v>
                </c:pt>
                <c:pt idx="60" formatCode="0.0">
                  <c:v>41.75</c:v>
                </c:pt>
                <c:pt idx="61" formatCode="0.0">
                  <c:v>41.36</c:v>
                </c:pt>
                <c:pt idx="62" formatCode="0.0">
                  <c:v>40.64</c:v>
                </c:pt>
                <c:pt idx="63" formatCode="0.0">
                  <c:v>41.36</c:v>
                </c:pt>
                <c:pt idx="64" formatCode="0.0">
                  <c:v>41.11</c:v>
                </c:pt>
                <c:pt idx="65" formatCode="0.0">
                  <c:v>40.51</c:v>
                </c:pt>
                <c:pt idx="66" formatCode="0.0">
                  <c:v>40.17</c:v>
                </c:pt>
                <c:pt idx="67" formatCode="0.0">
                  <c:v>39.909999999999997</c:v>
                </c:pt>
                <c:pt idx="68" formatCode="0.0">
                  <c:v>39.61</c:v>
                </c:pt>
                <c:pt idx="69" formatCode="0.0">
                  <c:v>39.36</c:v>
                </c:pt>
              </c:numCache>
            </c:numRef>
          </c:val>
          <c:smooth val="1"/>
          <c:extLst>
            <c:ext xmlns:c16="http://schemas.microsoft.com/office/drawing/2014/chart" uri="{C3380CC4-5D6E-409C-BE32-E72D297353CC}">
              <c16:uniqueId val="{0000001A-74D8-49DC-8408-92E865EF6BF1}"/>
            </c:ext>
          </c:extLst>
        </c:ser>
        <c:ser>
          <c:idx val="27"/>
          <c:order val="27"/>
          <c:tx>
            <c:strRef>
              <c:f>'Full Ranking'!$AC$605</c:f>
              <c:strCache>
                <c:ptCount val="1"/>
                <c:pt idx="0">
                  <c:v>11</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Ranking'!$AC$606:$AC$675</c:f>
              <c:numCache>
                <c:formatCode>#,##0</c:formatCode>
                <c:ptCount val="70"/>
                <c:pt idx="0">
                  <c:v>25</c:v>
                </c:pt>
                <c:pt idx="1">
                  <c:v>29</c:v>
                </c:pt>
                <c:pt idx="7">
                  <c:v>19</c:v>
                </c:pt>
                <c:pt idx="8">
                  <c:v>16</c:v>
                </c:pt>
                <c:pt idx="9">
                  <c:v>21</c:v>
                </c:pt>
                <c:pt idx="10">
                  <c:v>18</c:v>
                </c:pt>
                <c:pt idx="11">
                  <c:v>14</c:v>
                </c:pt>
                <c:pt idx="14">
                  <c:v>21</c:v>
                </c:pt>
                <c:pt idx="16">
                  <c:v>12</c:v>
                </c:pt>
                <c:pt idx="17">
                  <c:v>23</c:v>
                </c:pt>
                <c:pt idx="18">
                  <c:v>226</c:v>
                </c:pt>
                <c:pt idx="21" formatCode="0.0">
                  <c:v>73.349999999999994</c:v>
                </c:pt>
                <c:pt idx="22" formatCode="0.0">
                  <c:v>73.25</c:v>
                </c:pt>
                <c:pt idx="23" formatCode="0.0">
                  <c:v>74.98</c:v>
                </c:pt>
                <c:pt idx="24" formatCode="0.0">
                  <c:v>74.37</c:v>
                </c:pt>
                <c:pt idx="25" formatCode="0.0">
                  <c:v>73.760000000000005</c:v>
                </c:pt>
                <c:pt idx="26" formatCode="0.0">
                  <c:v>76.91</c:v>
                </c:pt>
                <c:pt idx="27" formatCode="0.0">
                  <c:v>77.83</c:v>
                </c:pt>
                <c:pt idx="28" formatCode="0.0">
                  <c:v>76.099999999999994</c:v>
                </c:pt>
                <c:pt idx="29" formatCode="0.0">
                  <c:v>73.86</c:v>
                </c:pt>
                <c:pt idx="30" formatCode="0.0">
                  <c:v>73.14</c:v>
                </c:pt>
                <c:pt idx="31" formatCode="0.0">
                  <c:v>75.28</c:v>
                </c:pt>
                <c:pt idx="32" formatCode="0.0">
                  <c:v>74.260000000000005</c:v>
                </c:pt>
                <c:pt idx="33" formatCode="0.0">
                  <c:v>72.53</c:v>
                </c:pt>
                <c:pt idx="34" formatCode="0.0">
                  <c:v>73.25</c:v>
                </c:pt>
                <c:pt idx="35" formatCode="0.0">
                  <c:v>71.209999999999994</c:v>
                </c:pt>
                <c:pt idx="36" formatCode="0.0">
                  <c:v>71.209999999999994</c:v>
                </c:pt>
                <c:pt idx="37" formatCode="0.0">
                  <c:v>71.11</c:v>
                </c:pt>
                <c:pt idx="38" formatCode="0.0">
                  <c:v>69.680000000000007</c:v>
                </c:pt>
                <c:pt idx="39" formatCode="0.0">
                  <c:v>67.44</c:v>
                </c:pt>
                <c:pt idx="40" formatCode="0.0">
                  <c:v>66.42</c:v>
                </c:pt>
                <c:pt idx="41" formatCode="0.0">
                  <c:v>66.319999999999993</c:v>
                </c:pt>
                <c:pt idx="42" formatCode="0.0">
                  <c:v>66.52</c:v>
                </c:pt>
                <c:pt idx="43" formatCode="0.0">
                  <c:v>64.89</c:v>
                </c:pt>
                <c:pt idx="44" formatCode="0.0">
                  <c:v>65.3</c:v>
                </c:pt>
                <c:pt idx="45" formatCode="0.0">
                  <c:v>63.67</c:v>
                </c:pt>
                <c:pt idx="46" formatCode="0.0">
                  <c:v>61.02</c:v>
                </c:pt>
                <c:pt idx="47" formatCode="0.0">
                  <c:v>60.61</c:v>
                </c:pt>
                <c:pt idx="48" formatCode="0.0">
                  <c:v>59.19</c:v>
                </c:pt>
                <c:pt idx="49" formatCode="0.0">
                  <c:v>57.46</c:v>
                </c:pt>
                <c:pt idx="50" formatCode="0.0">
                  <c:v>55.52</c:v>
                </c:pt>
                <c:pt idx="51" formatCode="0.0">
                  <c:v>54.71</c:v>
                </c:pt>
                <c:pt idx="52" formatCode="0.0">
                  <c:v>54.81</c:v>
                </c:pt>
                <c:pt idx="53" formatCode="0.0">
                  <c:v>53.08</c:v>
                </c:pt>
                <c:pt idx="54" formatCode="0.0">
                  <c:v>51.14</c:v>
                </c:pt>
                <c:pt idx="55" formatCode="0.0">
                  <c:v>48.8</c:v>
                </c:pt>
                <c:pt idx="56" formatCode="0.0">
                  <c:v>45.64</c:v>
                </c:pt>
                <c:pt idx="57" formatCode="0.0">
                  <c:v>45.33</c:v>
                </c:pt>
                <c:pt idx="58" formatCode="0.0">
                  <c:v>45.13</c:v>
                </c:pt>
                <c:pt idx="59" formatCode="0.0">
                  <c:v>44.82</c:v>
                </c:pt>
                <c:pt idx="60" formatCode="0.0">
                  <c:v>42.99</c:v>
                </c:pt>
                <c:pt idx="61" formatCode="0.0">
                  <c:v>41.87</c:v>
                </c:pt>
                <c:pt idx="62" formatCode="0.0">
                  <c:v>41.87</c:v>
                </c:pt>
                <c:pt idx="63" formatCode="0.0">
                  <c:v>41.26</c:v>
                </c:pt>
                <c:pt idx="64" formatCode="0.0">
                  <c:v>39.729999999999997</c:v>
                </c:pt>
                <c:pt idx="65" formatCode="0.0">
                  <c:v>39.729999999999997</c:v>
                </c:pt>
                <c:pt idx="66" formatCode="0.0">
                  <c:v>39.53</c:v>
                </c:pt>
                <c:pt idx="67" formatCode="0.0">
                  <c:v>39.119999999999997</c:v>
                </c:pt>
                <c:pt idx="68" formatCode="0.0">
                  <c:v>38.71</c:v>
                </c:pt>
                <c:pt idx="69" formatCode="0.0">
                  <c:v>39.22</c:v>
                </c:pt>
              </c:numCache>
            </c:numRef>
          </c:val>
          <c:smooth val="1"/>
          <c:extLst>
            <c:ext xmlns:c16="http://schemas.microsoft.com/office/drawing/2014/chart" uri="{C3380CC4-5D6E-409C-BE32-E72D297353CC}">
              <c16:uniqueId val="{0000001B-74D8-49DC-8408-92E865EF6BF1}"/>
            </c:ext>
          </c:extLst>
        </c:ser>
        <c:ser>
          <c:idx val="28"/>
          <c:order val="28"/>
          <c:tx>
            <c:strRef>
              <c:f>'Full Ranking'!$AD$605</c:f>
              <c:strCache>
                <c:ptCount val="1"/>
                <c:pt idx="0">
                  <c:v>10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Ranking'!$AD$606:$AD$675</c:f>
              <c:numCache>
                <c:formatCode>0.0</c:formatCode>
                <c:ptCount val="70"/>
                <c:pt idx="0" formatCode="#,##0">
                  <c:v>10</c:v>
                </c:pt>
                <c:pt idx="3" formatCode="#,##0">
                  <c:v>15</c:v>
                </c:pt>
                <c:pt idx="5" formatCode="#,##0">
                  <c:v>14</c:v>
                </c:pt>
                <c:pt idx="6" formatCode="#,##0">
                  <c:v>17</c:v>
                </c:pt>
                <c:pt idx="7" formatCode="#,##0">
                  <c:v>19</c:v>
                </c:pt>
                <c:pt idx="8" formatCode="#,##0">
                  <c:v>16</c:v>
                </c:pt>
                <c:pt idx="9" formatCode="#,##0">
                  <c:v>22</c:v>
                </c:pt>
                <c:pt idx="10" formatCode="#,##0">
                  <c:v>216</c:v>
                </c:pt>
                <c:pt idx="11" formatCode="#,##0">
                  <c:v>10</c:v>
                </c:pt>
                <c:pt idx="12" formatCode="#,##0">
                  <c:v>16</c:v>
                </c:pt>
                <c:pt idx="13" formatCode="#,##0">
                  <c:v>18</c:v>
                </c:pt>
                <c:pt idx="14" formatCode="#,##0">
                  <c:v>10</c:v>
                </c:pt>
                <c:pt idx="15" formatCode="#,##0">
                  <c:v>16</c:v>
                </c:pt>
                <c:pt idx="17" formatCode="#,##0">
                  <c:v>16</c:v>
                </c:pt>
                <c:pt idx="18" formatCode="#,##0">
                  <c:v>17</c:v>
                </c:pt>
                <c:pt idx="19" formatCode="#,##0">
                  <c:v>12</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C-74D8-49DC-8408-92E865EF6BF1}"/>
            </c:ext>
          </c:extLst>
        </c:ser>
        <c:ser>
          <c:idx val="29"/>
          <c:order val="29"/>
          <c:tx>
            <c:strRef>
              <c:f>'Full Ranking'!$AE$605</c:f>
              <c:strCache>
                <c:ptCount val="1"/>
                <c:pt idx="0">
                  <c:v>10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Ranking'!$AE$606:$AE$675</c:f>
              <c:numCache>
                <c:formatCode>0.0</c:formatCode>
                <c:ptCount val="70"/>
                <c:pt idx="0" formatCode="#,##0">
                  <c:v>11</c:v>
                </c:pt>
                <c:pt idx="3" formatCode="#,##0">
                  <c:v>17</c:v>
                </c:pt>
                <c:pt idx="6" formatCode="#,##0">
                  <c:v>12</c:v>
                </c:pt>
                <c:pt idx="7" formatCode="#,##0">
                  <c:v>15</c:v>
                </c:pt>
                <c:pt idx="9" formatCode="#,##0">
                  <c:v>19</c:v>
                </c:pt>
                <c:pt idx="10" formatCode="#,##0">
                  <c:v>213</c:v>
                </c:pt>
                <c:pt idx="12" formatCode="#,##0">
                  <c:v>10</c:v>
                </c:pt>
                <c:pt idx="13" formatCode="#,##0">
                  <c:v>14</c:v>
                </c:pt>
                <c:pt idx="14" formatCode="#,##0">
                  <c:v>11</c:v>
                </c:pt>
                <c:pt idx="15" formatCode="#,##0">
                  <c:v>11</c:v>
                </c:pt>
                <c:pt idx="17" formatCode="#,##0">
                  <c:v>13</c:v>
                </c:pt>
                <c:pt idx="18" formatCode="#,##0">
                  <c:v>13</c:v>
                </c:pt>
                <c:pt idx="19" formatCode="#,##0">
                  <c:v>10</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D-74D8-49DC-8408-92E865EF6BF1}"/>
            </c:ext>
          </c:extLst>
        </c:ser>
        <c:ser>
          <c:idx val="30"/>
          <c:order val="30"/>
          <c:tx>
            <c:strRef>
              <c:f>'Full Ranking'!$AF$605</c:f>
              <c:strCache>
                <c:ptCount val="1"/>
                <c:pt idx="0">
                  <c:v>10</c:v>
                </c:pt>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Ranking'!$AF$606:$AF$675</c:f>
              <c:numCache>
                <c:formatCode>0.0</c:formatCode>
                <c:ptCount val="70"/>
                <c:pt idx="3" formatCode="#,##0">
                  <c:v>15</c:v>
                </c:pt>
                <c:pt idx="7" formatCode="#,##0">
                  <c:v>10</c:v>
                </c:pt>
                <c:pt idx="11" formatCode="#,##0">
                  <c:v>10</c:v>
                </c:pt>
                <c:pt idx="14" formatCode="#,##0">
                  <c:v>10</c:v>
                </c:pt>
                <c:pt idx="15" formatCode="#,##0">
                  <c:v>11</c:v>
                </c:pt>
                <c:pt idx="17" formatCode="#,##0">
                  <c:v>10</c:v>
                </c:pt>
                <c:pt idx="18" formatCode="#,##0">
                  <c:v>10</c:v>
                </c:pt>
                <c:pt idx="19" formatCode="#,##0">
                  <c:v>10</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E-74D8-49DC-8408-92E865EF6BF1}"/>
            </c:ext>
          </c:extLst>
        </c:ser>
        <c:ser>
          <c:idx val="31"/>
          <c:order val="31"/>
          <c:tx>
            <c:strRef>
              <c:f>'Full Ranking'!$AG$605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Ranking'!$AG$606:$AG$675</c:f>
              <c:numCache>
                <c:formatCode>0.0</c:formatCode>
                <c:ptCount val="70"/>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1F-74D8-49DC-8408-92E865EF6BF1}"/>
            </c:ext>
          </c:extLst>
        </c:ser>
        <c:ser>
          <c:idx val="32"/>
          <c:order val="32"/>
          <c:tx>
            <c:strRef>
              <c:f>'Full Ranking'!$AH$605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Ranking'!$AH$606:$AH$675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0-74D8-49DC-8408-92E865EF6BF1}"/>
            </c:ext>
          </c:extLst>
        </c:ser>
        <c:ser>
          <c:idx val="33"/>
          <c:order val="33"/>
          <c:tx>
            <c:strRef>
              <c:f>'Full Ranking'!$AI$605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Ranking'!$AI$606:$AI$675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1-74D8-49DC-8408-92E865EF6BF1}"/>
            </c:ext>
          </c:extLst>
        </c:ser>
        <c:ser>
          <c:idx val="34"/>
          <c:order val="34"/>
          <c:tx>
            <c:strRef>
              <c:f>'Full Ranking'!$AJ$605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Ranking'!$AJ$606:$AJ$675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2-74D8-49DC-8408-92E865EF6BF1}"/>
            </c:ext>
          </c:extLst>
        </c:ser>
        <c:ser>
          <c:idx val="35"/>
          <c:order val="35"/>
          <c:tx>
            <c:strRef>
              <c:f>'Full Ranking'!$AK$605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Ranking'!$AK$606:$AK$675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3-74D8-49DC-8408-92E865EF6BF1}"/>
            </c:ext>
          </c:extLst>
        </c:ser>
        <c:ser>
          <c:idx val="36"/>
          <c:order val="36"/>
          <c:tx>
            <c:strRef>
              <c:f>'Full Ranking'!$AL$605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Ranking'!$AL$606:$AL$675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4-74D8-49DC-8408-92E865EF6BF1}"/>
            </c:ext>
          </c:extLst>
        </c:ser>
        <c:ser>
          <c:idx val="37"/>
          <c:order val="37"/>
          <c:tx>
            <c:strRef>
              <c:f>'Full Ranking'!$AM$605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Ranking'!$AM$606:$AM$675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5-74D8-49DC-8408-92E865EF6BF1}"/>
            </c:ext>
          </c:extLst>
        </c:ser>
        <c:ser>
          <c:idx val="38"/>
          <c:order val="38"/>
          <c:tx>
            <c:strRef>
              <c:f>'Full Ranking'!$AN$605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Ranking'!$AN$606:$AN$675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6-74D8-49DC-8408-92E865EF6BF1}"/>
            </c:ext>
          </c:extLst>
        </c:ser>
        <c:ser>
          <c:idx val="39"/>
          <c:order val="39"/>
          <c:tx>
            <c:strRef>
              <c:f>'Full Ranking'!$AO$605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Ranking'!$AO$606:$AO$675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7-74D8-49DC-8408-92E865EF6BF1}"/>
            </c:ext>
          </c:extLst>
        </c:ser>
        <c:ser>
          <c:idx val="40"/>
          <c:order val="40"/>
          <c:tx>
            <c:strRef>
              <c:f>'Full Ranking'!$AP$605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Ranking'!$AP$606:$AP$675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8-74D8-49DC-8408-92E865EF6BF1}"/>
            </c:ext>
          </c:extLst>
        </c:ser>
        <c:ser>
          <c:idx val="41"/>
          <c:order val="41"/>
          <c:tx>
            <c:strRef>
              <c:f>'Full Ranking'!$AQ$605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Ranking'!$AQ$606:$AQ$675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9-74D8-49DC-8408-92E865EF6BF1}"/>
            </c:ext>
          </c:extLst>
        </c:ser>
        <c:ser>
          <c:idx val="42"/>
          <c:order val="42"/>
          <c:tx>
            <c:strRef>
              <c:f>'Full Ranking'!$AR$605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Ranking'!$AR$606:$AR$675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A-74D8-49DC-8408-92E865EF6BF1}"/>
            </c:ext>
          </c:extLst>
        </c:ser>
        <c:ser>
          <c:idx val="43"/>
          <c:order val="43"/>
          <c:tx>
            <c:strRef>
              <c:f>'Full Ranking'!$AS$605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Ranking'!$AS$606:$AS$675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B-74D8-49DC-8408-92E865EF6BF1}"/>
            </c:ext>
          </c:extLst>
        </c:ser>
        <c:ser>
          <c:idx val="44"/>
          <c:order val="44"/>
          <c:tx>
            <c:strRef>
              <c:f>'Full Ranking'!$AT$605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Ranking'!$AT$606:$AT$675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C-74D8-49DC-8408-92E865EF6BF1}"/>
            </c:ext>
          </c:extLst>
        </c:ser>
        <c:ser>
          <c:idx val="45"/>
          <c:order val="45"/>
          <c:tx>
            <c:strRef>
              <c:f>'Full Ranking'!$AU$605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Ranking'!$AU$606:$AU$675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D-74D8-49DC-8408-92E865EF6BF1}"/>
            </c:ext>
          </c:extLst>
        </c:ser>
        <c:ser>
          <c:idx val="46"/>
          <c:order val="46"/>
          <c:tx>
            <c:strRef>
              <c:f>'Full Ranking'!$AV$605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Ranking'!$AV$606:$AV$675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E-74D8-49DC-8408-92E865EF6BF1}"/>
            </c:ext>
          </c:extLst>
        </c:ser>
        <c:ser>
          <c:idx val="47"/>
          <c:order val="47"/>
          <c:tx>
            <c:strRef>
              <c:f>'Full Ranking'!$AW$605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Ranking'!$AW$606:$AW$675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2F-74D8-49DC-8408-92E865EF6BF1}"/>
            </c:ext>
          </c:extLst>
        </c:ser>
        <c:ser>
          <c:idx val="48"/>
          <c:order val="48"/>
          <c:tx>
            <c:strRef>
              <c:f>'Full Ranking'!$AX$605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Ranking'!$AX$606:$AX$675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30-74D8-49DC-8408-92E865EF6BF1}"/>
            </c:ext>
          </c:extLst>
        </c:ser>
        <c:ser>
          <c:idx val="49"/>
          <c:order val="49"/>
          <c:tx>
            <c:strRef>
              <c:f>'Full Ranking'!$AY$605</c:f>
              <c:strCache>
                <c:ptCount val="1"/>
              </c:strCache>
            </c:strRef>
          </c:tx>
          <c:spPr>
            <a:ln>
              <a:prstDash val="solid"/>
            </a:ln>
          </c:spPr>
          <c:marker>
            <c:symbol val="none"/>
          </c:marker>
          <c:cat>
            <c:strRef>
              <c:f>'Full Ranking'!$A$606:$A$675</c:f>
              <c:strCache>
                <c:ptCount val="70"/>
                <c:pt idx="0">
                  <c:v>Period Ending</c:v>
                </c:pt>
                <c:pt idx="1">
                  <c:v>Jan 2020</c:v>
                </c:pt>
                <c:pt idx="2">
                  <c:v>Feb 2020</c:v>
                </c:pt>
                <c:pt idx="3">
                  <c:v>Mar 2020</c:v>
                </c:pt>
                <c:pt idx="4">
                  <c:v>Apr 2020</c:v>
                </c:pt>
                <c:pt idx="5">
                  <c:v>May 2020</c:v>
                </c:pt>
                <c:pt idx="6">
                  <c:v>Jun 2020</c:v>
                </c:pt>
                <c:pt idx="7">
                  <c:v>Jul 2020</c:v>
                </c:pt>
                <c:pt idx="8">
                  <c:v>Aug 2020</c:v>
                </c:pt>
                <c:pt idx="9">
                  <c:v>Sep 2020</c:v>
                </c:pt>
                <c:pt idx="10">
                  <c:v>Oct 2020</c:v>
                </c:pt>
                <c:pt idx="11">
                  <c:v>Nov 2020</c:v>
                </c:pt>
                <c:pt idx="12">
                  <c:v>Dec 2020</c:v>
                </c:pt>
                <c:pt idx="13">
                  <c:v>Jan 2021</c:v>
                </c:pt>
                <c:pt idx="14">
                  <c:v>Feb 2021</c:v>
                </c:pt>
                <c:pt idx="15">
                  <c:v>Mar 2021</c:v>
                </c:pt>
                <c:pt idx="16">
                  <c:v>Apr 2021</c:v>
                </c:pt>
                <c:pt idx="17">
                  <c:v>May 2021</c:v>
                </c:pt>
                <c:pt idx="18">
                  <c:v>Jun 2021</c:v>
                </c:pt>
                <c:pt idx="19">
                  <c:v>Jul 2021</c:v>
                </c:pt>
                <c:pt idx="20">
                  <c:v>Aug 2021</c:v>
                </c:pt>
                <c:pt idx="21">
                  <c:v>Sep 2021</c:v>
                </c:pt>
                <c:pt idx="22">
                  <c:v>Oct 2021</c:v>
                </c:pt>
                <c:pt idx="23">
                  <c:v>Nov 2021</c:v>
                </c:pt>
                <c:pt idx="24">
                  <c:v>Dec 2021</c:v>
                </c:pt>
                <c:pt idx="25">
                  <c:v>Jan 2022</c:v>
                </c:pt>
                <c:pt idx="26">
                  <c:v>Feb 2022</c:v>
                </c:pt>
                <c:pt idx="27">
                  <c:v>Mar 2022</c:v>
                </c:pt>
                <c:pt idx="28">
                  <c:v>Apr 2022</c:v>
                </c:pt>
                <c:pt idx="29">
                  <c:v>May 2022</c:v>
                </c:pt>
                <c:pt idx="30">
                  <c:v>Jun 2022</c:v>
                </c:pt>
                <c:pt idx="31">
                  <c:v>Jul 2022</c:v>
                </c:pt>
                <c:pt idx="32">
                  <c:v>Aug 2022</c:v>
                </c:pt>
                <c:pt idx="33">
                  <c:v>Sep 2022</c:v>
                </c:pt>
                <c:pt idx="34">
                  <c:v>Oct 2022</c:v>
                </c:pt>
                <c:pt idx="35">
                  <c:v>Nov 2022</c:v>
                </c:pt>
                <c:pt idx="36">
                  <c:v>Dec 2022</c:v>
                </c:pt>
                <c:pt idx="37">
                  <c:v>Jan 2023</c:v>
                </c:pt>
                <c:pt idx="38">
                  <c:v>Feb 2023</c:v>
                </c:pt>
                <c:pt idx="39">
                  <c:v>Mar 2023</c:v>
                </c:pt>
                <c:pt idx="40">
                  <c:v>Apr 2023</c:v>
                </c:pt>
                <c:pt idx="41">
                  <c:v>May 2023</c:v>
                </c:pt>
                <c:pt idx="42">
                  <c:v>Jun 2023</c:v>
                </c:pt>
                <c:pt idx="43">
                  <c:v>Jul 2023</c:v>
                </c:pt>
                <c:pt idx="44">
                  <c:v>Aug 2023</c:v>
                </c:pt>
                <c:pt idx="45">
                  <c:v>Sep 2023</c:v>
                </c:pt>
                <c:pt idx="46">
                  <c:v>Oct 2023</c:v>
                </c:pt>
                <c:pt idx="47">
                  <c:v>Nov 2023</c:v>
                </c:pt>
                <c:pt idx="48">
                  <c:v>Dec 2023</c:v>
                </c:pt>
                <c:pt idx="49">
                  <c:v>Jan 2024</c:v>
                </c:pt>
                <c:pt idx="50">
                  <c:v>Feb 2024</c:v>
                </c:pt>
                <c:pt idx="51">
                  <c:v>Mar 2024</c:v>
                </c:pt>
                <c:pt idx="52">
                  <c:v>Apr 2024</c:v>
                </c:pt>
                <c:pt idx="53">
                  <c:v>May 2024</c:v>
                </c:pt>
                <c:pt idx="54">
                  <c:v>Jun 2024</c:v>
                </c:pt>
                <c:pt idx="55">
                  <c:v>Jul 2024</c:v>
                </c:pt>
                <c:pt idx="56">
                  <c:v>Aug 2024</c:v>
                </c:pt>
                <c:pt idx="57">
                  <c:v>Sep 2024</c:v>
                </c:pt>
                <c:pt idx="58">
                  <c:v>Oct 2024</c:v>
                </c:pt>
                <c:pt idx="59">
                  <c:v>Nov 2024</c:v>
                </c:pt>
                <c:pt idx="60">
                  <c:v>Dec 2024</c:v>
                </c:pt>
                <c:pt idx="61">
                  <c:v>Jan 2025</c:v>
                </c:pt>
                <c:pt idx="62">
                  <c:v>Feb 2025</c:v>
                </c:pt>
                <c:pt idx="63">
                  <c:v>Mar 2025</c:v>
                </c:pt>
                <c:pt idx="64">
                  <c:v>Apr 2025</c:v>
                </c:pt>
                <c:pt idx="65">
                  <c:v>May 2025</c:v>
                </c:pt>
                <c:pt idx="66">
                  <c:v>Jun 2025</c:v>
                </c:pt>
                <c:pt idx="67">
                  <c:v>Jul 2025</c:v>
                </c:pt>
                <c:pt idx="68">
                  <c:v>Aug 2025</c:v>
                </c:pt>
                <c:pt idx="69">
                  <c:v>Sep 2025</c:v>
                </c:pt>
              </c:strCache>
            </c:strRef>
          </c:cat>
          <c:val>
            <c:numRef>
              <c:f>'Full Ranking'!$AY$606:$AY$675</c:f>
              <c:numCache>
                <c:formatCode>0.0</c:formatCode>
                <c:ptCount val="70"/>
                <c:pt idx="0" formatCode="General">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numCache>
            </c:numRef>
          </c:val>
          <c:smooth val="1"/>
          <c:extLst>
            <c:ext xmlns:c16="http://schemas.microsoft.com/office/drawing/2014/chart" uri="{C3380CC4-5D6E-409C-BE32-E72D297353CC}">
              <c16:uniqueId val="{00000031-74D8-49DC-8408-92E865EF6BF1}"/>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t>12-month 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t>Overdose deaths per 100,000 (12-mo trailing)</a:t>
                </a:r>
              </a:p>
            </c:rich>
          </c:tx>
          <c:overlay val="1"/>
        </c:title>
        <c:numFmt formatCode="General" sourceLinked="1"/>
        <c:majorTickMark val="none"/>
        <c:minorTickMark val="none"/>
        <c:tickLblPos val="nextTo"/>
        <c:crossAx val="10"/>
        <c:crosses val="autoZero"/>
        <c:crossBetween val="between"/>
      </c:valAx>
    </c:plotArea>
    <c:legend>
      <c:legendPos val="r"/>
      <c:overlay val="1"/>
    </c:legend>
    <c:plotVisOnly val="1"/>
    <c:dispBlanksAs val="gap"/>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t>Spokane County — 12-month-ending overdose deaths (Jan 2020 – Sep 2025)</a:t>
            </a:r>
          </a:p>
        </c:rich>
      </c:tx>
      <c:overlay val="1"/>
    </c:title>
    <c:autoTitleDeleted val="0"/>
    <c:plotArea>
      <c:layout/>
      <c:lineChart>
        <c:grouping val="standard"/>
        <c:varyColors val="1"/>
        <c:ser>
          <c:idx val="0"/>
          <c:order val="0"/>
          <c:tx>
            <c:strRef>
              <c:f>'Spokane Trend'!$D$7</c:f>
              <c:strCache>
                <c:ptCount val="1"/>
                <c:pt idx="0">
                  <c:v>Overdose Deaths</c:v>
                </c:pt>
              </c:strCache>
            </c:strRef>
          </c:tx>
          <c:spPr>
            <a:ln>
              <a:prstDash val="solid"/>
            </a:ln>
          </c:spPr>
          <c:marker>
            <c:symbol val="none"/>
          </c:marker>
          <c:cat>
            <c:strRef>
              <c:f>'Spokane Trend'!$A$8:$A$76</c:f>
              <c:strCache>
                <c:ptCount val="69"/>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strCache>
            </c:strRef>
          </c:cat>
          <c:val>
            <c:numRef>
              <c:f>'Spokane Trend'!$D$8:$D$76</c:f>
              <c:numCache>
                <c:formatCode>#,##0</c:formatCode>
                <c:ptCount val="69"/>
                <c:pt idx="0">
                  <c:v>83</c:v>
                </c:pt>
                <c:pt idx="1">
                  <c:v>85</c:v>
                </c:pt>
                <c:pt idx="2">
                  <c:v>88</c:v>
                </c:pt>
                <c:pt idx="3">
                  <c:v>89</c:v>
                </c:pt>
                <c:pt idx="4">
                  <c:v>85</c:v>
                </c:pt>
                <c:pt idx="5">
                  <c:v>91</c:v>
                </c:pt>
                <c:pt idx="6">
                  <c:v>92</c:v>
                </c:pt>
                <c:pt idx="7">
                  <c:v>94</c:v>
                </c:pt>
                <c:pt idx="8">
                  <c:v>92</c:v>
                </c:pt>
                <c:pt idx="9">
                  <c:v>95</c:v>
                </c:pt>
                <c:pt idx="10">
                  <c:v>99</c:v>
                </c:pt>
                <c:pt idx="11">
                  <c:v>103</c:v>
                </c:pt>
                <c:pt idx="12">
                  <c:v>98</c:v>
                </c:pt>
                <c:pt idx="13">
                  <c:v>97</c:v>
                </c:pt>
                <c:pt idx="14">
                  <c:v>104</c:v>
                </c:pt>
                <c:pt idx="15">
                  <c:v>110</c:v>
                </c:pt>
                <c:pt idx="16">
                  <c:v>109</c:v>
                </c:pt>
                <c:pt idx="17">
                  <c:v>111</c:v>
                </c:pt>
                <c:pt idx="18">
                  <c:v>130</c:v>
                </c:pt>
                <c:pt idx="19">
                  <c:v>140</c:v>
                </c:pt>
                <c:pt idx="20">
                  <c:v>155</c:v>
                </c:pt>
                <c:pt idx="21">
                  <c:v>169</c:v>
                </c:pt>
                <c:pt idx="22">
                  <c:v>178</c:v>
                </c:pt>
                <c:pt idx="23">
                  <c:v>184</c:v>
                </c:pt>
                <c:pt idx="24">
                  <c:v>193</c:v>
                </c:pt>
                <c:pt idx="25">
                  <c:v>204</c:v>
                </c:pt>
                <c:pt idx="26">
                  <c:v>214</c:v>
                </c:pt>
                <c:pt idx="27">
                  <c:v>215</c:v>
                </c:pt>
                <c:pt idx="28">
                  <c:v>225</c:v>
                </c:pt>
                <c:pt idx="29">
                  <c:v>230</c:v>
                </c:pt>
                <c:pt idx="30">
                  <c:v>223</c:v>
                </c:pt>
                <c:pt idx="31">
                  <c:v>219</c:v>
                </c:pt>
                <c:pt idx="32">
                  <c:v>213</c:v>
                </c:pt>
                <c:pt idx="33">
                  <c:v>214</c:v>
                </c:pt>
                <c:pt idx="34">
                  <c:v>214</c:v>
                </c:pt>
                <c:pt idx="35">
                  <c:v>216</c:v>
                </c:pt>
                <c:pt idx="36">
                  <c:v>220</c:v>
                </c:pt>
                <c:pt idx="37">
                  <c:v>223</c:v>
                </c:pt>
                <c:pt idx="38">
                  <c:v>219</c:v>
                </c:pt>
                <c:pt idx="39">
                  <c:v>222</c:v>
                </c:pt>
                <c:pt idx="40">
                  <c:v>223</c:v>
                </c:pt>
                <c:pt idx="41">
                  <c:v>224</c:v>
                </c:pt>
                <c:pt idx="42">
                  <c:v>232</c:v>
                </c:pt>
                <c:pt idx="43">
                  <c:v>236</c:v>
                </c:pt>
                <c:pt idx="44">
                  <c:v>239</c:v>
                </c:pt>
                <c:pt idx="45">
                  <c:v>228</c:v>
                </c:pt>
                <c:pt idx="46">
                  <c:v>226</c:v>
                </c:pt>
                <c:pt idx="47">
                  <c:v>233</c:v>
                </c:pt>
                <c:pt idx="48">
                  <c:v>237</c:v>
                </c:pt>
                <c:pt idx="49">
                  <c:v>246</c:v>
                </c:pt>
                <c:pt idx="50">
                  <c:v>255</c:v>
                </c:pt>
                <c:pt idx="51">
                  <c:v>266</c:v>
                </c:pt>
                <c:pt idx="52">
                  <c:v>273</c:v>
                </c:pt>
                <c:pt idx="53">
                  <c:v>281</c:v>
                </c:pt>
                <c:pt idx="54">
                  <c:v>284</c:v>
                </c:pt>
                <c:pt idx="55">
                  <c:v>284</c:v>
                </c:pt>
                <c:pt idx="56">
                  <c:v>294</c:v>
                </c:pt>
                <c:pt idx="57">
                  <c:v>308</c:v>
                </c:pt>
                <c:pt idx="58">
                  <c:v>312</c:v>
                </c:pt>
                <c:pt idx="59">
                  <c:v>316</c:v>
                </c:pt>
                <c:pt idx="60">
                  <c:v>330</c:v>
                </c:pt>
                <c:pt idx="61">
                  <c:v>330</c:v>
                </c:pt>
                <c:pt idx="62">
                  <c:v>332</c:v>
                </c:pt>
                <c:pt idx="63">
                  <c:v>331</c:v>
                </c:pt>
                <c:pt idx="64">
                  <c:v>326</c:v>
                </c:pt>
                <c:pt idx="65">
                  <c:v>320</c:v>
                </c:pt>
                <c:pt idx="66">
                  <c:v>324</c:v>
                </c:pt>
                <c:pt idx="67">
                  <c:v>331</c:v>
                </c:pt>
                <c:pt idx="68">
                  <c:v>322</c:v>
                </c:pt>
              </c:numCache>
            </c:numRef>
          </c:val>
          <c:smooth val="1"/>
          <c:extLst>
            <c:ext xmlns:c16="http://schemas.microsoft.com/office/drawing/2014/chart" uri="{C3380CC4-5D6E-409C-BE32-E72D297353CC}">
              <c16:uniqueId val="{00000000-856E-4613-B468-04091B28EB3F}"/>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t>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t>Deaths (12-mo trailing)</a:t>
                </a:r>
              </a:p>
            </c:rich>
          </c:tx>
          <c:overlay val="1"/>
        </c:title>
        <c:numFmt formatCode="#,##0" sourceLinked="1"/>
        <c:majorTickMark val="none"/>
        <c:minorTickMark val="none"/>
        <c:tickLblPos val="nextTo"/>
        <c:crossAx val="10"/>
        <c:crosses val="autoZero"/>
        <c:crossBetween val="between"/>
      </c:valAx>
    </c:plotArea>
    <c:legend>
      <c:legendPos val="r"/>
      <c:overlay val="0"/>
    </c:legend>
    <c:plotVisOnly val="1"/>
    <c:dispBlanksAs val="gap"/>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a:defRPr/>
            </a:pPr>
            <a:r>
              <a:t>Spokane County — Rate per 100,000 (Jan 2020 – Sep 2025)</a:t>
            </a:r>
          </a:p>
        </c:rich>
      </c:tx>
      <c:overlay val="1"/>
    </c:title>
    <c:autoTitleDeleted val="0"/>
    <c:plotArea>
      <c:layout/>
      <c:lineChart>
        <c:grouping val="standard"/>
        <c:varyColors val="1"/>
        <c:ser>
          <c:idx val="0"/>
          <c:order val="0"/>
          <c:tx>
            <c:strRef>
              <c:f>'Spokane Trend'!$E$7</c:f>
              <c:strCache>
                <c:ptCount val="1"/>
                <c:pt idx="0">
                  <c:v>Rate per 100,000</c:v>
                </c:pt>
              </c:strCache>
            </c:strRef>
          </c:tx>
          <c:spPr>
            <a:ln>
              <a:prstDash val="solid"/>
            </a:ln>
          </c:spPr>
          <c:marker>
            <c:symbol val="none"/>
          </c:marker>
          <c:cat>
            <c:strRef>
              <c:f>'Spokane Trend'!$A$8:$A$76</c:f>
              <c:strCache>
                <c:ptCount val="69"/>
                <c:pt idx="0">
                  <c:v>Jan 2020</c:v>
                </c:pt>
                <c:pt idx="1">
                  <c:v>Feb 2020</c:v>
                </c:pt>
                <c:pt idx="2">
                  <c:v>Mar 2020</c:v>
                </c:pt>
                <c:pt idx="3">
                  <c:v>Apr 2020</c:v>
                </c:pt>
                <c:pt idx="4">
                  <c:v>May 2020</c:v>
                </c:pt>
                <c:pt idx="5">
                  <c:v>Jun 2020</c:v>
                </c:pt>
                <c:pt idx="6">
                  <c:v>Jul 2020</c:v>
                </c:pt>
                <c:pt idx="7">
                  <c:v>Aug 2020</c:v>
                </c:pt>
                <c:pt idx="8">
                  <c:v>Sep 2020</c:v>
                </c:pt>
                <c:pt idx="9">
                  <c:v>Oct 2020</c:v>
                </c:pt>
                <c:pt idx="10">
                  <c:v>Nov 2020</c:v>
                </c:pt>
                <c:pt idx="11">
                  <c:v>Dec 2020</c:v>
                </c:pt>
                <c:pt idx="12">
                  <c:v>Jan 2021</c:v>
                </c:pt>
                <c:pt idx="13">
                  <c:v>Feb 2021</c:v>
                </c:pt>
                <c:pt idx="14">
                  <c:v>Mar 2021</c:v>
                </c:pt>
                <c:pt idx="15">
                  <c:v>Apr 2021</c:v>
                </c:pt>
                <c:pt idx="16">
                  <c:v>May 2021</c:v>
                </c:pt>
                <c:pt idx="17">
                  <c:v>Jun 2021</c:v>
                </c:pt>
                <c:pt idx="18">
                  <c:v>Jul 2021</c:v>
                </c:pt>
                <c:pt idx="19">
                  <c:v>Aug 2021</c:v>
                </c:pt>
                <c:pt idx="20">
                  <c:v>Sep 2021</c:v>
                </c:pt>
                <c:pt idx="21">
                  <c:v>Oct 2021</c:v>
                </c:pt>
                <c:pt idx="22">
                  <c:v>Nov 2021</c:v>
                </c:pt>
                <c:pt idx="23">
                  <c:v>Dec 2021</c:v>
                </c:pt>
                <c:pt idx="24">
                  <c:v>Jan 2022</c:v>
                </c:pt>
                <c:pt idx="25">
                  <c:v>Feb 2022</c:v>
                </c:pt>
                <c:pt idx="26">
                  <c:v>Mar 2022</c:v>
                </c:pt>
                <c:pt idx="27">
                  <c:v>Apr 2022</c:v>
                </c:pt>
                <c:pt idx="28">
                  <c:v>May 2022</c:v>
                </c:pt>
                <c:pt idx="29">
                  <c:v>Jun 2022</c:v>
                </c:pt>
                <c:pt idx="30">
                  <c:v>Jul 2022</c:v>
                </c:pt>
                <c:pt idx="31">
                  <c:v>Aug 2022</c:v>
                </c:pt>
                <c:pt idx="32">
                  <c:v>Sep 2022</c:v>
                </c:pt>
                <c:pt idx="33">
                  <c:v>Oct 2022</c:v>
                </c:pt>
                <c:pt idx="34">
                  <c:v>Nov 2022</c:v>
                </c:pt>
                <c:pt idx="35">
                  <c:v>Dec 2022</c:v>
                </c:pt>
                <c:pt idx="36">
                  <c:v>Jan 2023</c:v>
                </c:pt>
                <c:pt idx="37">
                  <c:v>Feb 2023</c:v>
                </c:pt>
                <c:pt idx="38">
                  <c:v>Mar 2023</c:v>
                </c:pt>
                <c:pt idx="39">
                  <c:v>Apr 2023</c:v>
                </c:pt>
                <c:pt idx="40">
                  <c:v>May 2023</c:v>
                </c:pt>
                <c:pt idx="41">
                  <c:v>Jun 2023</c:v>
                </c:pt>
                <c:pt idx="42">
                  <c:v>Jul 2023</c:v>
                </c:pt>
                <c:pt idx="43">
                  <c:v>Aug 2023</c:v>
                </c:pt>
                <c:pt idx="44">
                  <c:v>Sep 2023</c:v>
                </c:pt>
                <c:pt idx="45">
                  <c:v>Oct 2023</c:v>
                </c:pt>
                <c:pt idx="46">
                  <c:v>Nov 2023</c:v>
                </c:pt>
                <c:pt idx="47">
                  <c:v>Dec 2023</c:v>
                </c:pt>
                <c:pt idx="48">
                  <c:v>Jan 2024</c:v>
                </c:pt>
                <c:pt idx="49">
                  <c:v>Feb 2024</c:v>
                </c:pt>
                <c:pt idx="50">
                  <c:v>Mar 2024</c:v>
                </c:pt>
                <c:pt idx="51">
                  <c:v>Apr 2024</c:v>
                </c:pt>
                <c:pt idx="52">
                  <c:v>May 2024</c:v>
                </c:pt>
                <c:pt idx="53">
                  <c:v>Jun 2024</c:v>
                </c:pt>
                <c:pt idx="54">
                  <c:v>Jul 2024</c:v>
                </c:pt>
                <c:pt idx="55">
                  <c:v>Aug 2024</c:v>
                </c:pt>
                <c:pt idx="56">
                  <c:v>Sep 2024</c:v>
                </c:pt>
                <c:pt idx="57">
                  <c:v>Oct 2024</c:v>
                </c:pt>
                <c:pt idx="58">
                  <c:v>Nov 2024</c:v>
                </c:pt>
                <c:pt idx="59">
                  <c:v>Dec 2024</c:v>
                </c:pt>
                <c:pt idx="60">
                  <c:v>Jan 2025</c:v>
                </c:pt>
                <c:pt idx="61">
                  <c:v>Feb 2025</c:v>
                </c:pt>
                <c:pt idx="62">
                  <c:v>Mar 2025</c:v>
                </c:pt>
                <c:pt idx="63">
                  <c:v>Apr 2025</c:v>
                </c:pt>
                <c:pt idx="64">
                  <c:v>May 2025</c:v>
                </c:pt>
                <c:pt idx="65">
                  <c:v>Jun 2025</c:v>
                </c:pt>
                <c:pt idx="66">
                  <c:v>Jul 2025</c:v>
                </c:pt>
                <c:pt idx="67">
                  <c:v>Aug 2025</c:v>
                </c:pt>
                <c:pt idx="68">
                  <c:v>Sep 2025</c:v>
                </c:pt>
              </c:strCache>
            </c:strRef>
          </c:cat>
          <c:val>
            <c:numRef>
              <c:f>'Spokane Trend'!$E$8:$E$76</c:f>
              <c:numCache>
                <c:formatCode>0.0</c:formatCode>
                <c:ptCount val="69"/>
                <c:pt idx="0">
                  <c:v>14.929480687907301</c:v>
                </c:pt>
                <c:pt idx="1">
                  <c:v>15.289227210507477</c:v>
                </c:pt>
                <c:pt idx="2">
                  <c:v>15.828846994407741</c:v>
                </c:pt>
                <c:pt idx="3">
                  <c:v>16.008720255707829</c:v>
                </c:pt>
                <c:pt idx="4">
                  <c:v>15.289227210507477</c:v>
                </c:pt>
                <c:pt idx="5">
                  <c:v>16.368466778308004</c:v>
                </c:pt>
                <c:pt idx="6">
                  <c:v>16.548340039608092</c:v>
                </c:pt>
                <c:pt idx="7">
                  <c:v>16.908086562208268</c:v>
                </c:pt>
                <c:pt idx="8">
                  <c:v>16.548340039608092</c:v>
                </c:pt>
                <c:pt idx="9">
                  <c:v>17.087959823508356</c:v>
                </c:pt>
                <c:pt idx="10">
                  <c:v>17.807452868708708</c:v>
                </c:pt>
                <c:pt idx="11">
                  <c:v>18.52694591390906</c:v>
                </c:pt>
                <c:pt idx="12">
                  <c:v>17.62757960740862</c:v>
                </c:pt>
                <c:pt idx="13">
                  <c:v>17.447706346108532</c:v>
                </c:pt>
                <c:pt idx="14">
                  <c:v>18.706819175209148</c:v>
                </c:pt>
                <c:pt idx="15">
                  <c:v>19.786058743009676</c:v>
                </c:pt>
                <c:pt idx="16">
                  <c:v>19.606185481709588</c:v>
                </c:pt>
                <c:pt idx="17">
                  <c:v>19.965932004309764</c:v>
                </c:pt>
                <c:pt idx="18">
                  <c:v>23.383523969011435</c:v>
                </c:pt>
                <c:pt idx="19">
                  <c:v>25.182256582012315</c:v>
                </c:pt>
                <c:pt idx="20">
                  <c:v>27.880355501513634</c:v>
                </c:pt>
                <c:pt idx="21">
                  <c:v>30.398581159714865</c:v>
                </c:pt>
                <c:pt idx="22">
                  <c:v>32.017440511415657</c:v>
                </c:pt>
                <c:pt idx="23">
                  <c:v>33.096680079216185</c:v>
                </c:pt>
                <c:pt idx="24">
                  <c:v>34.715539430916976</c:v>
                </c:pt>
                <c:pt idx="25">
                  <c:v>36.694145305217944</c:v>
                </c:pt>
                <c:pt idx="26">
                  <c:v>38.492877918218824</c:v>
                </c:pt>
                <c:pt idx="27">
                  <c:v>38.672751179518912</c:v>
                </c:pt>
                <c:pt idx="28">
                  <c:v>40.471483792519791</c:v>
                </c:pt>
                <c:pt idx="29">
                  <c:v>41.370850099020231</c:v>
                </c:pt>
                <c:pt idx="30">
                  <c:v>40.111737269919615</c:v>
                </c:pt>
                <c:pt idx="31">
                  <c:v>39.392244224719263</c:v>
                </c:pt>
                <c:pt idx="32">
                  <c:v>38.313004656918736</c:v>
                </c:pt>
                <c:pt idx="33">
                  <c:v>38.492877918218824</c:v>
                </c:pt>
                <c:pt idx="34">
                  <c:v>38.492877918218824</c:v>
                </c:pt>
                <c:pt idx="35">
                  <c:v>38.852624440819</c:v>
                </c:pt>
                <c:pt idx="36">
                  <c:v>39.572117486019351</c:v>
                </c:pt>
                <c:pt idx="37">
                  <c:v>40.111737269919615</c:v>
                </c:pt>
                <c:pt idx="38">
                  <c:v>39.392244224719263</c:v>
                </c:pt>
                <c:pt idx="39">
                  <c:v>39.931864008619527</c:v>
                </c:pt>
                <c:pt idx="40">
                  <c:v>40.111737269919615</c:v>
                </c:pt>
                <c:pt idx="41">
                  <c:v>40.291610531219703</c:v>
                </c:pt>
                <c:pt idx="42">
                  <c:v>41.730596621620407</c:v>
                </c:pt>
                <c:pt idx="43">
                  <c:v>42.450089666820759</c:v>
                </c:pt>
                <c:pt idx="44">
                  <c:v>42.989709450721023</c:v>
                </c:pt>
                <c:pt idx="45">
                  <c:v>41.011103576420055</c:v>
                </c:pt>
                <c:pt idx="46">
                  <c:v>40.651357053819879</c:v>
                </c:pt>
                <c:pt idx="47">
                  <c:v>41.910469882920495</c:v>
                </c:pt>
                <c:pt idx="48">
                  <c:v>42.629962928120847</c:v>
                </c:pt>
                <c:pt idx="49">
                  <c:v>44.248822279821638</c:v>
                </c:pt>
                <c:pt idx="50">
                  <c:v>45.86768163152243</c:v>
                </c:pt>
                <c:pt idx="51">
                  <c:v>47.846287505823398</c:v>
                </c:pt>
                <c:pt idx="52">
                  <c:v>49.105400334924013</c:v>
                </c:pt>
                <c:pt idx="53">
                  <c:v>50.544386425324717</c:v>
                </c:pt>
                <c:pt idx="54">
                  <c:v>51.084006209224981</c:v>
                </c:pt>
                <c:pt idx="55">
                  <c:v>51.084006209224981</c:v>
                </c:pt>
                <c:pt idx="56">
                  <c:v>52.882738822225868</c:v>
                </c:pt>
                <c:pt idx="57">
                  <c:v>55.400964480427092</c:v>
                </c:pt>
                <c:pt idx="58">
                  <c:v>56.120457525627444</c:v>
                </c:pt>
                <c:pt idx="59">
                  <c:v>56.839950570827789</c:v>
                </c:pt>
                <c:pt idx="60">
                  <c:v>59.358176229029027</c:v>
                </c:pt>
                <c:pt idx="61">
                  <c:v>59.358176229029027</c:v>
                </c:pt>
                <c:pt idx="62">
                  <c:v>59.717922751629203</c:v>
                </c:pt>
                <c:pt idx="63">
                  <c:v>59.538049490329115</c:v>
                </c:pt>
                <c:pt idx="64">
                  <c:v>58.638683183828675</c:v>
                </c:pt>
                <c:pt idx="65">
                  <c:v>57.55944361602814</c:v>
                </c:pt>
                <c:pt idx="66">
                  <c:v>58.278936661228499</c:v>
                </c:pt>
                <c:pt idx="67">
                  <c:v>59.538049490329115</c:v>
                </c:pt>
                <c:pt idx="68">
                  <c:v>57.919190138628331</c:v>
                </c:pt>
              </c:numCache>
            </c:numRef>
          </c:val>
          <c:smooth val="1"/>
          <c:extLst>
            <c:ext xmlns:c16="http://schemas.microsoft.com/office/drawing/2014/chart" uri="{C3380CC4-5D6E-409C-BE32-E72D297353CC}">
              <c16:uniqueId val="{00000000-1F32-4CDB-887F-55964F5E5902}"/>
            </c:ext>
          </c:extLst>
        </c:ser>
        <c:dLbls>
          <c:showLegendKey val="0"/>
          <c:showVal val="0"/>
          <c:showCatName val="0"/>
          <c:showSerName val="0"/>
          <c:showPercent val="0"/>
          <c:showBubbleSize val="0"/>
        </c:dLbls>
        <c:smooth val="0"/>
        <c:axId val="10"/>
        <c:axId val="100"/>
      </c:lineChart>
      <c:catAx>
        <c:axId val="10"/>
        <c:scaling>
          <c:orientation val="minMax"/>
        </c:scaling>
        <c:delete val="1"/>
        <c:axPos val="b"/>
        <c:title>
          <c:tx>
            <c:rich>
              <a:bodyPr/>
              <a:lstStyle/>
              <a:p>
                <a:pPr>
                  <a:defRPr/>
                </a:pPr>
                <a:r>
                  <a:t>Period ending</a:t>
                </a:r>
              </a:p>
            </c:rich>
          </c:tx>
          <c:overlay val="1"/>
        </c:title>
        <c:numFmt formatCode="General" sourceLinked="1"/>
        <c:majorTickMark val="none"/>
        <c:minorTickMark val="none"/>
        <c:tickLblPos val="nextTo"/>
        <c:crossAx val="100"/>
        <c:crosses val="autoZero"/>
        <c:auto val="1"/>
        <c:lblAlgn val="ctr"/>
        <c:lblOffset val="100"/>
        <c:noMultiLvlLbl val="1"/>
      </c:catAx>
      <c:valAx>
        <c:axId val="100"/>
        <c:scaling>
          <c:orientation val="minMax"/>
        </c:scaling>
        <c:delete val="1"/>
        <c:axPos val="l"/>
        <c:majorGridlines/>
        <c:title>
          <c:tx>
            <c:rich>
              <a:bodyPr/>
              <a:lstStyle/>
              <a:p>
                <a:pPr>
                  <a:defRPr/>
                </a:pPr>
                <a:r>
                  <a:t>Rate per 100,000</a:t>
                </a:r>
              </a:p>
            </c:rich>
          </c:tx>
          <c:overlay val="1"/>
        </c:title>
        <c:numFmt formatCode="0.0" sourceLinked="1"/>
        <c:majorTickMark val="none"/>
        <c:minorTickMark val="none"/>
        <c:tickLblPos val="nextTo"/>
        <c:crossAx val="10"/>
        <c:crosses val="autoZero"/>
        <c:crossBetween val="between"/>
      </c:valAx>
    </c:plotArea>
    <c:legend>
      <c:legendPos val="r"/>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oneCellAnchor>
    <xdr:from>
      <xdr:col>8</xdr:col>
      <xdr:colOff>0</xdr:colOff>
      <xdr:row>4</xdr:row>
      <xdr:rowOff>0</xdr:rowOff>
    </xdr:from>
    <xdr:ext cx="9360000" cy="5760000"/>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27</xdr:col>
      <xdr:colOff>0</xdr:colOff>
      <xdr:row>35</xdr:row>
      <xdr:rowOff>0</xdr:rowOff>
    </xdr:from>
    <xdr:ext cx="11520000" cy="5760000"/>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2.xml><?xml version="1.0" encoding="utf-8"?>
<xdr:wsDr xmlns:xdr="http://schemas.openxmlformats.org/drawingml/2006/spreadsheetDrawing" xmlns:a="http://schemas.openxmlformats.org/drawingml/2006/main">
  <xdr:oneCellAnchor>
    <xdr:from>
      <xdr:col>8</xdr:col>
      <xdr:colOff>0</xdr:colOff>
      <xdr:row>4</xdr:row>
      <xdr:rowOff>0</xdr:rowOff>
    </xdr:from>
    <xdr:ext cx="9360000" cy="5760000"/>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27</xdr:col>
      <xdr:colOff>0</xdr:colOff>
      <xdr:row>35</xdr:row>
      <xdr:rowOff>0</xdr:rowOff>
    </xdr:from>
    <xdr:ext cx="11520000" cy="5760000"/>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4</xdr:row>
      <xdr:rowOff>0</xdr:rowOff>
    </xdr:from>
    <xdr:ext cx="9360000" cy="9000000"/>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52</xdr:col>
      <xdr:colOff>0</xdr:colOff>
      <xdr:row>59</xdr:row>
      <xdr:rowOff>0</xdr:rowOff>
    </xdr:from>
    <xdr:ext cx="11520000" cy="5760000"/>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drawings/drawing4.xml><?xml version="1.0" encoding="utf-8"?>
<xdr:wsDr xmlns:xdr="http://schemas.openxmlformats.org/drawingml/2006/spreadsheetDrawing" xmlns:a="http://schemas.openxmlformats.org/drawingml/2006/main">
  <xdr:oneCellAnchor>
    <xdr:from>
      <xdr:col>52</xdr:col>
      <xdr:colOff>0</xdr:colOff>
      <xdr:row>599</xdr:row>
      <xdr:rowOff>0</xdr:rowOff>
    </xdr:from>
    <xdr:ext cx="11520000" cy="57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6</xdr:row>
      <xdr:rowOff>0</xdr:rowOff>
    </xdr:from>
    <xdr:ext cx="7920000" cy="3600000"/>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oneCellAnchor>
    <xdr:from>
      <xdr:col>7</xdr:col>
      <xdr:colOff>0</xdr:colOff>
      <xdr:row>29</xdr:row>
      <xdr:rowOff>0</xdr:rowOff>
    </xdr:from>
    <xdr:ext cx="7920000" cy="3600000"/>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hyperlink" Target="https://coroner.elpasoco.com/annual-coroners-report/" TargetMode="External"/><Relationship Id="rId13" Type="http://schemas.openxmlformats.org/officeDocument/2006/relationships/hyperlink" Target="https://humboldtgov.org/2822/Coroners-Reports" TargetMode="External"/><Relationship Id="rId18" Type="http://schemas.openxmlformats.org/officeDocument/2006/relationships/hyperlink" Target="https://knoxcounty.org/health/forensic_center.php" TargetMode="External"/><Relationship Id="rId3" Type="http://schemas.openxmlformats.org/officeDocument/2006/relationships/hyperlink" Target="https://www.stlouis-mo.gov/government/departments/health/behavioral-health/data/drug-overdose-fatalities.cfm" TargetMode="External"/><Relationship Id="rId21" Type="http://schemas.openxmlformats.org/officeDocument/2006/relationships/hyperlink" Target="https://www.co.cowlitz.wa.us/1094/Cowlitz-County-Coroner" TargetMode="External"/><Relationship Id="rId7" Type="http://schemas.openxmlformats.org/officeDocument/2006/relationships/hyperlink" Target="https://www.sf.gov/data--preliminary-unintentional-drug-overdose-deaths" TargetMode="External"/><Relationship Id="rId12" Type="http://schemas.openxmlformats.org/officeDocument/2006/relationships/hyperlink" Target="http://neworleanscoroner.com/press-releases/" TargetMode="External"/><Relationship Id="rId17" Type="http://schemas.openxmlformats.org/officeDocument/2006/relationships/hyperlink" Target="https://tpchd.org/info/data/overdose/" TargetMode="External"/><Relationship Id="rId25" Type="http://schemas.openxmlformats.org/officeDocument/2006/relationships/hyperlink" Target="https://www.njoag.gov/programs/nj-cares/nj-cares-suspected-overdose-deaths/" TargetMode="External"/><Relationship Id="rId2" Type="http://schemas.openxmlformats.org/officeDocument/2006/relationships/hyperlink" Target="https://www.nmhealth.org/news/awareness/2025/9/?view=2275" TargetMode="External"/><Relationship Id="rId16" Type="http://schemas.openxmlformats.org/officeDocument/2006/relationships/hyperlink" Target="https://stopoverdose.maryland.gov/dashboard/" TargetMode="External"/><Relationship Id="rId20" Type="http://schemas.openxmlformats.org/officeDocument/2006/relationships/hyperlink" Target="https://dhhr.wv.gov/HSC/SS/Most_Requested_Statistics/DrugOverdoseMortality/Pages/default.aspx" TargetMode="External"/><Relationship Id="rId1" Type="http://schemas.openxmlformats.org/officeDocument/2006/relationships/hyperlink" Target="https://dashboards.mysidewalk.com/baltimorecityoverdose" TargetMode="External"/><Relationship Id="rId6" Type="http://schemas.openxmlformats.org/officeDocument/2006/relationships/hyperlink" Target="https://www.spokanecounty.gov/807/Medical-Examiner" TargetMode="External"/><Relationship Id="rId11" Type="http://schemas.openxmlformats.org/officeDocument/2006/relationships/hyperlink" Target="https://www.denvergov.org/Government/Agencies-Departments-Offices/Agencies-Departments-Offices-Directory/Public-Health-Environment/Community-Behavioral-Health/Behavioral-Health-Strategies/Overdose-Prevention/Overdose-Data-Dashboard" TargetMode="External"/><Relationship Id="rId24" Type="http://schemas.openxmlformats.org/officeDocument/2006/relationships/hyperlink" Target="https://county.pueblo.org/public-health-department/substance-use-data-pueblo-county" TargetMode="External"/><Relationship Id="rId5" Type="http://schemas.openxmlformats.org/officeDocument/2006/relationships/hyperlink" Target="https://skylab.cdph.ca.gov/ODdash/" TargetMode="External"/><Relationship Id="rId15" Type="http://schemas.openxmlformats.org/officeDocument/2006/relationships/hyperlink" Target="https://www.mohave.gov/departments/public-health/documents/medical-examiner-annual-report/" TargetMode="External"/><Relationship Id="rId23" Type="http://schemas.openxmlformats.org/officeDocument/2006/relationships/hyperlink" Target="https://www.nyc.gov/site/doh/data/data-publications/epi-data-briefs-and-data-tables.page" TargetMode="External"/><Relationship Id="rId10" Type="http://schemas.openxmlformats.org/officeDocument/2006/relationships/hyperlink" Target="https://multco.us/info/death-data" TargetMode="External"/><Relationship Id="rId19" Type="http://schemas.openxmlformats.org/officeDocument/2006/relationships/hyperlink" Target="https://hsc.unm.edu/omi/" TargetMode="External"/><Relationship Id="rId4" Type="http://schemas.openxmlformats.org/officeDocument/2006/relationships/hyperlink" Target="https://health.alaska.gov/en/division-of-public-health/state-medical-examiner/" TargetMode="External"/><Relationship Id="rId9" Type="http://schemas.openxmlformats.org/officeDocument/2006/relationships/hyperlink" Target="https://www.substanceusephilly.com/" TargetMode="External"/><Relationship Id="rId14" Type="http://schemas.openxmlformats.org/officeDocument/2006/relationships/hyperlink" Target="https://www.yakimacounty.us/566/Coroner" TargetMode="External"/><Relationship Id="rId22" Type="http://schemas.openxmlformats.org/officeDocument/2006/relationships/hyperlink" Target="https://www.nashville.gov/departments/health/drug-overdose-information"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48"/>
  <sheetViews>
    <sheetView showGridLines="0" workbookViewId="0"/>
  </sheetViews>
  <sheetFormatPr defaultRowHeight="14.4" x14ac:dyDescent="0.3"/>
  <cols>
    <col min="1" max="1" width="22" customWidth="1"/>
    <col min="2" max="2" width="95" customWidth="1"/>
  </cols>
  <sheetData>
    <row r="1" spans="1:2" ht="17.399999999999999" customHeight="1" x14ac:dyDescent="0.3">
      <c r="A1" s="1" t="s">
        <v>151</v>
      </c>
    </row>
    <row r="2" spans="1:2" x14ac:dyDescent="0.3">
      <c r="A2" s="2" t="s">
        <v>152</v>
      </c>
    </row>
    <row r="3" spans="1:2" x14ac:dyDescent="0.3">
      <c r="A3" s="2" t="s">
        <v>153</v>
      </c>
    </row>
    <row r="4" spans="1:2" x14ac:dyDescent="0.3">
      <c r="A4" s="3"/>
      <c r="B4" s="4"/>
    </row>
    <row r="5" spans="1:2" x14ac:dyDescent="0.3">
      <c r="A5" s="5" t="s">
        <v>154</v>
      </c>
      <c r="B5" s="4"/>
    </row>
    <row r="6" spans="1:2" ht="60" customHeight="1" x14ac:dyDescent="0.3">
      <c r="A6" s="5" t="s">
        <v>155</v>
      </c>
      <c r="B6" s="4" t="s">
        <v>156</v>
      </c>
    </row>
    <row r="7" spans="1:2" ht="40.049999999999997" customHeight="1" x14ac:dyDescent="0.3">
      <c r="A7" s="5" t="s">
        <v>157</v>
      </c>
      <c r="B7" s="4" t="s">
        <v>158</v>
      </c>
    </row>
    <row r="8" spans="1:2" ht="40.049999999999997" customHeight="1" x14ac:dyDescent="0.3">
      <c r="A8" s="5" t="s">
        <v>159</v>
      </c>
      <c r="B8" s="4" t="s">
        <v>160</v>
      </c>
    </row>
    <row r="9" spans="1:2" x14ac:dyDescent="0.3">
      <c r="A9" s="3"/>
      <c r="B9" s="4"/>
    </row>
    <row r="10" spans="1:2" ht="40.049999999999997" customHeight="1" x14ac:dyDescent="0.3">
      <c r="A10" s="5" t="s">
        <v>161</v>
      </c>
      <c r="B10" s="4" t="s">
        <v>162</v>
      </c>
    </row>
    <row r="11" spans="1:2" ht="40.049999999999997" customHeight="1" x14ac:dyDescent="0.3">
      <c r="A11" s="5" t="s">
        <v>163</v>
      </c>
      <c r="B11" s="4" t="s">
        <v>164</v>
      </c>
    </row>
    <row r="12" spans="1:2" ht="40.049999999999997" customHeight="1" x14ac:dyDescent="0.3">
      <c r="A12" s="5" t="s">
        <v>165</v>
      </c>
      <c r="B12" s="4" t="s">
        <v>166</v>
      </c>
    </row>
    <row r="13" spans="1:2" ht="40.049999999999997" customHeight="1" x14ac:dyDescent="0.3">
      <c r="A13" s="5" t="s">
        <v>167</v>
      </c>
      <c r="B13" s="4" t="s">
        <v>168</v>
      </c>
    </row>
    <row r="14" spans="1:2" ht="28.05" customHeight="1" x14ac:dyDescent="0.3">
      <c r="A14" s="5" t="s">
        <v>169</v>
      </c>
      <c r="B14" s="4" t="s">
        <v>170</v>
      </c>
    </row>
    <row r="15" spans="1:2" ht="40.049999999999997" customHeight="1" x14ac:dyDescent="0.3">
      <c r="A15" s="5" t="s">
        <v>171</v>
      </c>
      <c r="B15" s="4" t="s">
        <v>172</v>
      </c>
    </row>
    <row r="16" spans="1:2" ht="40.049999999999997" customHeight="1" x14ac:dyDescent="0.3">
      <c r="A16" s="5" t="s">
        <v>173</v>
      </c>
      <c r="B16" s="4" t="s">
        <v>174</v>
      </c>
    </row>
    <row r="17" spans="1:2" ht="40.049999999999997" customHeight="1" x14ac:dyDescent="0.3">
      <c r="A17" s="5" t="s">
        <v>175</v>
      </c>
      <c r="B17" s="4" t="s">
        <v>176</v>
      </c>
    </row>
    <row r="18" spans="1:2" ht="40.049999999999997" customHeight="1" x14ac:dyDescent="0.3">
      <c r="A18" s="5" t="s">
        <v>177</v>
      </c>
      <c r="B18" s="4" t="s">
        <v>178</v>
      </c>
    </row>
    <row r="19" spans="1:2" ht="40.049999999999997" customHeight="1" x14ac:dyDescent="0.3">
      <c r="A19" s="5" t="s">
        <v>179</v>
      </c>
      <c r="B19" s="4" t="s">
        <v>180</v>
      </c>
    </row>
    <row r="20" spans="1:2" x14ac:dyDescent="0.3">
      <c r="A20" s="3"/>
      <c r="B20" s="4"/>
    </row>
    <row r="21" spans="1:2" x14ac:dyDescent="0.3">
      <c r="A21" s="5" t="s">
        <v>181</v>
      </c>
      <c r="B21" s="4"/>
    </row>
    <row r="22" spans="1:2" ht="28.05" customHeight="1" x14ac:dyDescent="0.3">
      <c r="A22" s="5" t="s">
        <v>182</v>
      </c>
      <c r="B22" s="4" t="s">
        <v>183</v>
      </c>
    </row>
    <row r="23" spans="1:2" ht="28.05" customHeight="1" x14ac:dyDescent="0.3">
      <c r="A23" s="5" t="s">
        <v>184</v>
      </c>
      <c r="B23" s="4" t="s">
        <v>185</v>
      </c>
    </row>
    <row r="24" spans="1:2" ht="40.049999999999997" customHeight="1" x14ac:dyDescent="0.3">
      <c r="A24" s="5" t="s">
        <v>186</v>
      </c>
      <c r="B24" s="4" t="s">
        <v>187</v>
      </c>
    </row>
    <row r="25" spans="1:2" x14ac:dyDescent="0.3">
      <c r="A25" s="3"/>
      <c r="B25" s="4"/>
    </row>
    <row r="26" spans="1:2" x14ac:dyDescent="0.3">
      <c r="A26" s="5" t="s">
        <v>188</v>
      </c>
      <c r="B26" s="4"/>
    </row>
    <row r="27" spans="1:2" ht="40.049999999999997" customHeight="1" x14ac:dyDescent="0.3">
      <c r="A27" s="5" t="s">
        <v>189</v>
      </c>
      <c r="B27" s="4" t="s">
        <v>190</v>
      </c>
    </row>
    <row r="28" spans="1:2" ht="40.049999999999997" customHeight="1" x14ac:dyDescent="0.3">
      <c r="A28" s="5" t="s">
        <v>191</v>
      </c>
      <c r="B28" s="4" t="s">
        <v>192</v>
      </c>
    </row>
    <row r="29" spans="1:2" ht="40.049999999999997" customHeight="1" x14ac:dyDescent="0.3">
      <c r="A29" s="5" t="s">
        <v>193</v>
      </c>
      <c r="B29" s="4" t="s">
        <v>194</v>
      </c>
    </row>
    <row r="30" spans="1:2" ht="48" customHeight="1" x14ac:dyDescent="0.3">
      <c r="A30" s="5" t="s">
        <v>195</v>
      </c>
      <c r="B30" s="4" t="s">
        <v>196</v>
      </c>
    </row>
    <row r="31" spans="1:2" ht="28.05" customHeight="1" x14ac:dyDescent="0.3">
      <c r="A31" s="5" t="s">
        <v>197</v>
      </c>
      <c r="B31" s="4" t="s">
        <v>198</v>
      </c>
    </row>
    <row r="32" spans="1:2" ht="40.049999999999997" customHeight="1" x14ac:dyDescent="0.3">
      <c r="A32" s="5" t="s">
        <v>199</v>
      </c>
      <c r="B32" s="4" t="s">
        <v>200</v>
      </c>
    </row>
    <row r="33" spans="1:2" ht="28.05" customHeight="1" x14ac:dyDescent="0.3">
      <c r="A33" s="5" t="s">
        <v>201</v>
      </c>
      <c r="B33" s="4" t="s">
        <v>202</v>
      </c>
    </row>
    <row r="34" spans="1:2" ht="28.05" customHeight="1" x14ac:dyDescent="0.3">
      <c r="A34" s="5" t="s">
        <v>203</v>
      </c>
      <c r="B34" s="4" t="s">
        <v>204</v>
      </c>
    </row>
    <row r="35" spans="1:2" x14ac:dyDescent="0.3">
      <c r="A35" s="5" t="s">
        <v>205</v>
      </c>
      <c r="B35" s="4" t="s">
        <v>206</v>
      </c>
    </row>
    <row r="36" spans="1:2" x14ac:dyDescent="0.3">
      <c r="A36" s="5" t="s">
        <v>207</v>
      </c>
      <c r="B36" s="4" t="s">
        <v>208</v>
      </c>
    </row>
    <row r="38" spans="1:2" ht="15.6" x14ac:dyDescent="0.3">
      <c r="A38" s="113" t="s">
        <v>209</v>
      </c>
    </row>
    <row r="39" spans="1:2" x14ac:dyDescent="0.3">
      <c r="A39" s="114" t="s">
        <v>210</v>
      </c>
    </row>
    <row r="41" spans="1:2" ht="66" customHeight="1" x14ac:dyDescent="0.3">
      <c r="A41" s="115" t="s">
        <v>211</v>
      </c>
      <c r="B41" s="116" t="s">
        <v>212</v>
      </c>
    </row>
    <row r="42" spans="1:2" ht="81" customHeight="1" x14ac:dyDescent="0.3">
      <c r="A42" s="115" t="s">
        <v>213</v>
      </c>
      <c r="B42" s="116" t="s">
        <v>214</v>
      </c>
    </row>
    <row r="43" spans="1:2" ht="66" customHeight="1" x14ac:dyDescent="0.3">
      <c r="A43" s="115" t="s">
        <v>215</v>
      </c>
      <c r="B43" s="116" t="s">
        <v>216</v>
      </c>
    </row>
    <row r="44" spans="1:2" ht="96" customHeight="1" x14ac:dyDescent="0.3">
      <c r="A44" s="115" t="s">
        <v>217</v>
      </c>
      <c r="B44" s="116" t="s">
        <v>218</v>
      </c>
    </row>
    <row r="45" spans="1:2" ht="66" customHeight="1" x14ac:dyDescent="0.3">
      <c r="A45" s="115" t="s">
        <v>219</v>
      </c>
      <c r="B45" s="116" t="s">
        <v>220</v>
      </c>
    </row>
    <row r="46" spans="1:2" ht="96" customHeight="1" x14ac:dyDescent="0.3">
      <c r="A46" s="115" t="s">
        <v>221</v>
      </c>
      <c r="B46" s="116" t="s">
        <v>222</v>
      </c>
    </row>
    <row r="47" spans="1:2" ht="96" customHeight="1" x14ac:dyDescent="0.3">
      <c r="A47" s="115" t="s">
        <v>223</v>
      </c>
      <c r="B47" s="116" t="s">
        <v>224</v>
      </c>
    </row>
    <row r="48" spans="1:2" ht="66" customHeight="1" x14ac:dyDescent="0.3">
      <c r="A48" s="115" t="s">
        <v>225</v>
      </c>
      <c r="B48" s="116" t="s">
        <v>226</v>
      </c>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626"/>
  <sheetViews>
    <sheetView showGridLines="0" workbookViewId="0">
      <pane ySplit="5" topLeftCell="A6" activePane="bottomLeft" state="frozen"/>
      <selection pane="bottomLeft"/>
    </sheetView>
  </sheetViews>
  <sheetFormatPr defaultRowHeight="14.4" x14ac:dyDescent="0.3"/>
  <cols>
    <col min="1" max="1" width="10" customWidth="1"/>
    <col min="2" max="2" width="22" customWidth="1"/>
    <col min="3" max="3" width="32" customWidth="1"/>
    <col min="4" max="4" width="18" customWidth="1"/>
    <col min="5" max="5" width="22" customWidth="1"/>
    <col min="6" max="6" width="12" customWidth="1"/>
    <col min="7" max="7" width="32" customWidth="1"/>
  </cols>
  <sheetData>
    <row r="1" spans="1:7" ht="17.399999999999999" customHeight="1" x14ac:dyDescent="0.3">
      <c r="A1" s="1" t="s">
        <v>956</v>
      </c>
    </row>
    <row r="2" spans="1:7" x14ac:dyDescent="0.3">
      <c r="A2" s="2" t="s">
        <v>957</v>
      </c>
    </row>
    <row r="3" spans="1:7" x14ac:dyDescent="0.3">
      <c r="A3" s="2" t="s">
        <v>958</v>
      </c>
    </row>
    <row r="5" spans="1:7" ht="27.6" customHeight="1" x14ac:dyDescent="0.3">
      <c r="A5" s="6" t="s">
        <v>959</v>
      </c>
      <c r="B5" s="6" t="s">
        <v>5</v>
      </c>
      <c r="C5" s="6" t="s">
        <v>4</v>
      </c>
      <c r="D5" s="6" t="s">
        <v>6</v>
      </c>
      <c r="E5" s="6" t="s">
        <v>960</v>
      </c>
      <c r="F5" s="6" t="s">
        <v>9</v>
      </c>
      <c r="G5" s="6" t="s">
        <v>420</v>
      </c>
    </row>
    <row r="6" spans="1:7" x14ac:dyDescent="0.3">
      <c r="A6" s="7">
        <v>16001</v>
      </c>
      <c r="B6" s="7" t="s">
        <v>610</v>
      </c>
      <c r="C6" s="7" t="s">
        <v>764</v>
      </c>
      <c r="D6" s="8">
        <v>535799</v>
      </c>
      <c r="E6" s="8">
        <v>75</v>
      </c>
      <c r="F6" s="9">
        <v>0.15</v>
      </c>
      <c r="G6" s="7"/>
    </row>
    <row r="7" spans="1:7" x14ac:dyDescent="0.3">
      <c r="A7" s="7">
        <v>8001</v>
      </c>
      <c r="B7" s="7" t="s">
        <v>17</v>
      </c>
      <c r="C7" s="7" t="s">
        <v>507</v>
      </c>
      <c r="D7" s="8">
        <v>542973</v>
      </c>
      <c r="E7" s="8">
        <v>149</v>
      </c>
      <c r="F7" s="9">
        <v>0</v>
      </c>
      <c r="G7" s="7"/>
    </row>
    <row r="8" spans="1:7" x14ac:dyDescent="0.3">
      <c r="A8" s="7">
        <v>42001</v>
      </c>
      <c r="B8" s="7" t="s">
        <v>19</v>
      </c>
      <c r="C8" s="7" t="s">
        <v>507</v>
      </c>
      <c r="D8" s="8">
        <v>107914</v>
      </c>
      <c r="E8" s="8"/>
      <c r="F8" s="9">
        <v>0</v>
      </c>
      <c r="G8" s="7"/>
    </row>
    <row r="9" spans="1:7" x14ac:dyDescent="0.3">
      <c r="A9" s="7">
        <v>45003</v>
      </c>
      <c r="B9" s="7" t="s">
        <v>458</v>
      </c>
      <c r="C9" s="7" t="s">
        <v>457</v>
      </c>
      <c r="D9" s="8">
        <v>179245</v>
      </c>
      <c r="E9" s="8">
        <v>59</v>
      </c>
      <c r="F9" s="9">
        <v>0.14000000000000001</v>
      </c>
      <c r="G9" s="7"/>
    </row>
    <row r="10" spans="1:7" x14ac:dyDescent="0.3">
      <c r="A10" s="7">
        <v>12001</v>
      </c>
      <c r="B10" s="7" t="s">
        <v>50</v>
      </c>
      <c r="C10" s="7" t="s">
        <v>727</v>
      </c>
      <c r="D10" s="8">
        <v>291782</v>
      </c>
      <c r="E10" s="8">
        <v>45</v>
      </c>
      <c r="F10" s="9">
        <v>0.04</v>
      </c>
      <c r="G10" s="7" t="s">
        <v>961</v>
      </c>
    </row>
    <row r="11" spans="1:7" x14ac:dyDescent="0.3">
      <c r="A11" s="7">
        <v>37001</v>
      </c>
      <c r="B11" s="7" t="s">
        <v>467</v>
      </c>
      <c r="C11" s="7" t="s">
        <v>813</v>
      </c>
      <c r="D11" s="8">
        <v>183040</v>
      </c>
      <c r="E11" s="8">
        <v>22</v>
      </c>
      <c r="F11" s="9">
        <v>1.45</v>
      </c>
      <c r="G11" s="7" t="s">
        <v>961</v>
      </c>
    </row>
    <row r="12" spans="1:7" x14ac:dyDescent="0.3">
      <c r="A12" s="7">
        <v>6001</v>
      </c>
      <c r="B12" s="7" t="s">
        <v>15</v>
      </c>
      <c r="C12" s="7" t="s">
        <v>685</v>
      </c>
      <c r="D12" s="8">
        <v>1649060</v>
      </c>
      <c r="E12" s="8">
        <v>284</v>
      </c>
      <c r="F12" s="9">
        <v>0.03</v>
      </c>
      <c r="G12" s="7"/>
    </row>
    <row r="13" spans="1:7" x14ac:dyDescent="0.3">
      <c r="A13" s="7">
        <v>36001</v>
      </c>
      <c r="B13" s="7" t="s">
        <v>32</v>
      </c>
      <c r="C13" s="7" t="s">
        <v>731</v>
      </c>
      <c r="D13" s="8">
        <v>319964</v>
      </c>
      <c r="E13" s="8">
        <v>49</v>
      </c>
      <c r="F13" s="9">
        <v>0.28000000000000003</v>
      </c>
      <c r="G13" s="7" t="s">
        <v>961</v>
      </c>
    </row>
    <row r="14" spans="1:7" x14ac:dyDescent="0.3">
      <c r="A14" s="7">
        <v>51003</v>
      </c>
      <c r="B14" s="7" t="s">
        <v>239</v>
      </c>
      <c r="C14" s="7" t="s">
        <v>849</v>
      </c>
      <c r="D14" s="8">
        <v>117313</v>
      </c>
      <c r="E14" s="8">
        <v>12</v>
      </c>
      <c r="F14" s="9">
        <v>0.1</v>
      </c>
      <c r="G14" s="7"/>
    </row>
    <row r="15" spans="1:7" x14ac:dyDescent="0.3">
      <c r="A15" s="7">
        <v>51510</v>
      </c>
      <c r="B15" s="7" t="s">
        <v>239</v>
      </c>
      <c r="C15" s="7" t="s">
        <v>902</v>
      </c>
      <c r="D15" s="8">
        <v>159102</v>
      </c>
      <c r="E15" s="8"/>
      <c r="F15" s="9">
        <v>0.12</v>
      </c>
      <c r="G15" s="7"/>
    </row>
    <row r="16" spans="1:7" x14ac:dyDescent="0.3">
      <c r="A16" s="7">
        <v>26005</v>
      </c>
      <c r="B16" s="7" t="s">
        <v>480</v>
      </c>
      <c r="C16" s="7" t="s">
        <v>903</v>
      </c>
      <c r="D16" s="8">
        <v>122429</v>
      </c>
      <c r="E16" s="8"/>
      <c r="F16" s="9">
        <v>0.24</v>
      </c>
      <c r="G16" s="7"/>
    </row>
    <row r="17" spans="1:7" x14ac:dyDescent="0.3">
      <c r="A17" s="7">
        <v>42003</v>
      </c>
      <c r="B17" s="7" t="s">
        <v>19</v>
      </c>
      <c r="C17" s="7" t="s">
        <v>494</v>
      </c>
      <c r="D17" s="8">
        <v>1231814</v>
      </c>
      <c r="E17" s="8">
        <v>355</v>
      </c>
      <c r="F17" s="9">
        <v>0.43</v>
      </c>
      <c r="G17" s="7" t="s">
        <v>961</v>
      </c>
    </row>
    <row r="18" spans="1:7" x14ac:dyDescent="0.3">
      <c r="A18" s="7">
        <v>39003</v>
      </c>
      <c r="B18" s="7" t="s">
        <v>447</v>
      </c>
      <c r="C18" s="7" t="s">
        <v>656</v>
      </c>
      <c r="D18" s="8">
        <v>100866</v>
      </c>
      <c r="E18" s="8">
        <v>19</v>
      </c>
      <c r="F18" s="9">
        <v>0</v>
      </c>
      <c r="G18" s="7" t="s">
        <v>961</v>
      </c>
    </row>
    <row r="19" spans="1:7" x14ac:dyDescent="0.3">
      <c r="A19" s="7">
        <v>18003</v>
      </c>
      <c r="B19" s="7" t="s">
        <v>35</v>
      </c>
      <c r="C19" s="7" t="s">
        <v>656</v>
      </c>
      <c r="D19" s="8">
        <v>399295</v>
      </c>
      <c r="E19" s="8">
        <v>68</v>
      </c>
      <c r="F19" s="9">
        <v>0.03</v>
      </c>
      <c r="G19" s="7"/>
    </row>
    <row r="20" spans="1:7" x14ac:dyDescent="0.3">
      <c r="A20" s="7">
        <v>2020</v>
      </c>
      <c r="B20" s="7" t="s">
        <v>232</v>
      </c>
      <c r="C20" s="7" t="s">
        <v>231</v>
      </c>
      <c r="D20" s="8">
        <v>289600</v>
      </c>
      <c r="E20" s="8">
        <v>184</v>
      </c>
      <c r="F20" s="9">
        <v>0</v>
      </c>
      <c r="G20" s="7" t="s">
        <v>961</v>
      </c>
    </row>
    <row r="21" spans="1:7" x14ac:dyDescent="0.3">
      <c r="A21" s="7">
        <v>45007</v>
      </c>
      <c r="B21" s="7" t="s">
        <v>458</v>
      </c>
      <c r="C21" s="7" t="s">
        <v>544</v>
      </c>
      <c r="D21" s="8">
        <v>217183</v>
      </c>
      <c r="E21" s="8">
        <v>54</v>
      </c>
      <c r="F21" s="9">
        <v>0.08</v>
      </c>
      <c r="G21" s="7" t="s">
        <v>961</v>
      </c>
    </row>
    <row r="22" spans="1:7" x14ac:dyDescent="0.3">
      <c r="A22" s="7">
        <v>23001</v>
      </c>
      <c r="B22" s="7" t="s">
        <v>455</v>
      </c>
      <c r="C22" s="7" t="s">
        <v>482</v>
      </c>
      <c r="D22" s="8">
        <v>115272</v>
      </c>
      <c r="E22" s="8">
        <v>35</v>
      </c>
      <c r="F22" s="9">
        <v>0</v>
      </c>
      <c r="G22" s="7"/>
    </row>
    <row r="23" spans="1:7" x14ac:dyDescent="0.3">
      <c r="A23" s="7">
        <v>24003</v>
      </c>
      <c r="B23" s="7" t="s">
        <v>11</v>
      </c>
      <c r="C23" s="7" t="s">
        <v>620</v>
      </c>
      <c r="D23" s="8">
        <v>602350</v>
      </c>
      <c r="E23" s="8">
        <v>124</v>
      </c>
      <c r="F23" s="9">
        <v>0.02</v>
      </c>
      <c r="G23" s="7"/>
    </row>
    <row r="24" spans="1:7" x14ac:dyDescent="0.3">
      <c r="A24" s="7">
        <v>27003</v>
      </c>
      <c r="B24" s="7" t="s">
        <v>475</v>
      </c>
      <c r="C24" s="7" t="s">
        <v>749</v>
      </c>
      <c r="D24" s="8">
        <v>376840</v>
      </c>
      <c r="E24" s="8">
        <v>55</v>
      </c>
      <c r="F24" s="9">
        <v>0</v>
      </c>
      <c r="G24" s="7"/>
    </row>
    <row r="25" spans="1:7" x14ac:dyDescent="0.3">
      <c r="A25" s="7">
        <v>8005</v>
      </c>
      <c r="B25" s="7" t="s">
        <v>17</v>
      </c>
      <c r="C25" s="7" t="s">
        <v>508</v>
      </c>
      <c r="D25" s="8">
        <v>666918</v>
      </c>
      <c r="E25" s="8">
        <v>183</v>
      </c>
      <c r="F25" s="9">
        <v>0</v>
      </c>
      <c r="G25" s="7"/>
    </row>
    <row r="26" spans="1:7" x14ac:dyDescent="0.3">
      <c r="A26" s="7">
        <v>51013</v>
      </c>
      <c r="B26" s="7" t="s">
        <v>239</v>
      </c>
      <c r="C26" s="7" t="s">
        <v>896</v>
      </c>
      <c r="D26" s="8">
        <v>239807</v>
      </c>
      <c r="E26" s="8">
        <v>14</v>
      </c>
      <c r="F26" s="9">
        <v>0</v>
      </c>
      <c r="G26" s="7"/>
    </row>
    <row r="27" spans="1:7" x14ac:dyDescent="0.3">
      <c r="A27" s="7">
        <v>22005</v>
      </c>
      <c r="B27" s="7" t="s">
        <v>24</v>
      </c>
      <c r="C27" s="7" t="s">
        <v>615</v>
      </c>
      <c r="D27" s="8">
        <v>133534</v>
      </c>
      <c r="E27" s="8">
        <v>28</v>
      </c>
      <c r="F27" s="9">
        <v>0</v>
      </c>
      <c r="G27" s="7"/>
    </row>
    <row r="28" spans="1:7" x14ac:dyDescent="0.3">
      <c r="A28" s="7">
        <v>34001</v>
      </c>
      <c r="B28" s="7" t="s">
        <v>237</v>
      </c>
      <c r="C28" s="7" t="s">
        <v>236</v>
      </c>
      <c r="D28" s="8">
        <v>279114</v>
      </c>
      <c r="E28" s="8">
        <v>111</v>
      </c>
      <c r="F28" s="9">
        <v>0.72</v>
      </c>
      <c r="G28" s="7" t="s">
        <v>961</v>
      </c>
    </row>
    <row r="29" spans="1:7" x14ac:dyDescent="0.3">
      <c r="A29" s="7">
        <v>1003</v>
      </c>
      <c r="B29" s="7" t="s">
        <v>463</v>
      </c>
      <c r="C29" s="7" t="s">
        <v>704</v>
      </c>
      <c r="D29" s="8">
        <v>261608</v>
      </c>
      <c r="E29" s="8">
        <v>43</v>
      </c>
      <c r="F29" s="9">
        <v>0.11</v>
      </c>
      <c r="G29" s="7"/>
    </row>
    <row r="30" spans="1:7" x14ac:dyDescent="0.3">
      <c r="A30" s="7">
        <v>24005</v>
      </c>
      <c r="B30" s="7" t="s">
        <v>11</v>
      </c>
      <c r="C30" s="7" t="s">
        <v>555</v>
      </c>
      <c r="D30" s="8">
        <v>852425</v>
      </c>
      <c r="E30" s="8">
        <v>204</v>
      </c>
      <c r="F30" s="9">
        <v>0.04</v>
      </c>
      <c r="G30" s="7"/>
    </row>
    <row r="31" spans="1:7" x14ac:dyDescent="0.3">
      <c r="A31" s="7">
        <v>24510</v>
      </c>
      <c r="B31" s="7" t="s">
        <v>11</v>
      </c>
      <c r="C31" s="7" t="s">
        <v>10</v>
      </c>
      <c r="D31" s="8">
        <v>568271</v>
      </c>
      <c r="E31" s="8">
        <v>498</v>
      </c>
      <c r="F31" s="9">
        <v>0.23</v>
      </c>
      <c r="G31" s="7"/>
    </row>
    <row r="32" spans="1:7" x14ac:dyDescent="0.3">
      <c r="A32" s="7">
        <v>25001</v>
      </c>
      <c r="B32" s="7" t="s">
        <v>453</v>
      </c>
      <c r="C32" s="7" t="s">
        <v>747</v>
      </c>
      <c r="D32" s="8">
        <v>232570</v>
      </c>
      <c r="E32" s="8">
        <v>34</v>
      </c>
      <c r="F32" s="9">
        <v>0.03</v>
      </c>
      <c r="G32" s="7" t="s">
        <v>961</v>
      </c>
    </row>
    <row r="33" spans="1:7" x14ac:dyDescent="0.3">
      <c r="A33" s="7">
        <v>13015</v>
      </c>
      <c r="B33" s="7" t="s">
        <v>469</v>
      </c>
      <c r="C33" s="7" t="s">
        <v>608</v>
      </c>
      <c r="D33" s="8">
        <v>117508</v>
      </c>
      <c r="E33" s="8">
        <v>25</v>
      </c>
      <c r="F33" s="9">
        <v>0.08</v>
      </c>
      <c r="G33" s="7" t="s">
        <v>961</v>
      </c>
    </row>
    <row r="34" spans="1:7" x14ac:dyDescent="0.3">
      <c r="A34" s="7">
        <v>48021</v>
      </c>
      <c r="B34" s="7" t="s">
        <v>604</v>
      </c>
      <c r="C34" s="7" t="s">
        <v>823</v>
      </c>
      <c r="D34" s="8">
        <v>114931</v>
      </c>
      <c r="E34" s="8">
        <v>13</v>
      </c>
      <c r="F34" s="9">
        <v>0</v>
      </c>
      <c r="G34" s="7"/>
    </row>
    <row r="35" spans="1:7" x14ac:dyDescent="0.3">
      <c r="A35" s="7">
        <v>26017</v>
      </c>
      <c r="B35" s="7" t="s">
        <v>480</v>
      </c>
      <c r="C35" s="7" t="s">
        <v>701</v>
      </c>
      <c r="D35" s="8">
        <v>102651</v>
      </c>
      <c r="E35" s="8">
        <v>14</v>
      </c>
      <c r="F35" s="9">
        <v>0.66</v>
      </c>
      <c r="G35" s="7" t="s">
        <v>961</v>
      </c>
    </row>
    <row r="36" spans="1:7" x14ac:dyDescent="0.3">
      <c r="A36" s="7">
        <v>12005</v>
      </c>
      <c r="B36" s="7" t="s">
        <v>50</v>
      </c>
      <c r="C36" s="7" t="s">
        <v>701</v>
      </c>
      <c r="D36" s="8">
        <v>199718</v>
      </c>
      <c r="E36" s="8">
        <v>33</v>
      </c>
      <c r="F36" s="9">
        <v>0.09</v>
      </c>
      <c r="G36" s="7"/>
    </row>
    <row r="37" spans="1:7" x14ac:dyDescent="0.3">
      <c r="A37" s="7">
        <v>45013</v>
      </c>
      <c r="B37" s="7" t="s">
        <v>458</v>
      </c>
      <c r="C37" s="7" t="s">
        <v>708</v>
      </c>
      <c r="D37" s="8">
        <v>201775</v>
      </c>
      <c r="E37" s="8">
        <v>33</v>
      </c>
      <c r="F37" s="9">
        <v>0.19</v>
      </c>
      <c r="G37" s="7"/>
    </row>
    <row r="38" spans="1:7" x14ac:dyDescent="0.3">
      <c r="A38" s="7">
        <v>42007</v>
      </c>
      <c r="B38" s="7" t="s">
        <v>19</v>
      </c>
      <c r="C38" s="7" t="s">
        <v>521</v>
      </c>
      <c r="D38" s="8">
        <v>165540</v>
      </c>
      <c r="E38" s="8">
        <v>44</v>
      </c>
      <c r="F38" s="9">
        <v>0.18</v>
      </c>
      <c r="G38" s="7"/>
    </row>
    <row r="39" spans="1:7" x14ac:dyDescent="0.3">
      <c r="A39" s="7">
        <v>48027</v>
      </c>
      <c r="B39" s="7" t="s">
        <v>604</v>
      </c>
      <c r="C39" s="7" t="s">
        <v>774</v>
      </c>
      <c r="D39" s="8">
        <v>399578</v>
      </c>
      <c r="E39" s="8">
        <v>55</v>
      </c>
      <c r="F39" s="9">
        <v>0</v>
      </c>
      <c r="G39" s="7" t="s">
        <v>961</v>
      </c>
    </row>
    <row r="40" spans="1:7" x14ac:dyDescent="0.3">
      <c r="A40" s="7">
        <v>5007</v>
      </c>
      <c r="B40" s="7" t="s">
        <v>588</v>
      </c>
      <c r="C40" s="7" t="s">
        <v>448</v>
      </c>
      <c r="D40" s="8">
        <v>321566</v>
      </c>
      <c r="E40" s="8">
        <v>12</v>
      </c>
      <c r="F40" s="9">
        <v>0.25</v>
      </c>
      <c r="G40" s="7"/>
    </row>
    <row r="41" spans="1:7" x14ac:dyDescent="0.3">
      <c r="A41" s="10">
        <v>53005</v>
      </c>
      <c r="B41" s="10" t="s">
        <v>13</v>
      </c>
      <c r="C41" s="10" t="s">
        <v>448</v>
      </c>
      <c r="D41" s="11">
        <v>218190</v>
      </c>
      <c r="E41" s="11">
        <v>74</v>
      </c>
      <c r="F41" s="12">
        <v>0.06</v>
      </c>
      <c r="G41" s="10" t="s">
        <v>961</v>
      </c>
    </row>
    <row r="42" spans="1:7" x14ac:dyDescent="0.3">
      <c r="A42" s="7">
        <v>34003</v>
      </c>
      <c r="B42" s="7" t="s">
        <v>237</v>
      </c>
      <c r="C42" s="7" t="s">
        <v>869</v>
      </c>
      <c r="D42" s="8">
        <v>978641</v>
      </c>
      <c r="E42" s="8">
        <v>91</v>
      </c>
      <c r="F42" s="9">
        <v>0.11</v>
      </c>
      <c r="G42" s="7" t="s">
        <v>961</v>
      </c>
    </row>
    <row r="43" spans="1:7" x14ac:dyDescent="0.3">
      <c r="A43" s="7">
        <v>45015</v>
      </c>
      <c r="B43" s="7" t="s">
        <v>458</v>
      </c>
      <c r="C43" s="7" t="s">
        <v>532</v>
      </c>
      <c r="D43" s="8">
        <v>264276</v>
      </c>
      <c r="E43" s="8">
        <v>64</v>
      </c>
      <c r="F43" s="9">
        <v>0.15</v>
      </c>
      <c r="G43" s="7"/>
    </row>
    <row r="44" spans="1:7" x14ac:dyDescent="0.3">
      <c r="A44" s="7">
        <v>54003</v>
      </c>
      <c r="B44" s="7" t="s">
        <v>253</v>
      </c>
      <c r="C44" s="7" t="s">
        <v>532</v>
      </c>
      <c r="D44" s="8">
        <v>136287</v>
      </c>
      <c r="E44" s="8">
        <v>35</v>
      </c>
      <c r="F44" s="9">
        <v>0.42</v>
      </c>
      <c r="G44" s="7" t="s">
        <v>961</v>
      </c>
    </row>
    <row r="45" spans="1:7" x14ac:dyDescent="0.3">
      <c r="A45" s="7">
        <v>42011</v>
      </c>
      <c r="B45" s="7" t="s">
        <v>19</v>
      </c>
      <c r="C45" s="7" t="s">
        <v>672</v>
      </c>
      <c r="D45" s="8">
        <v>439117</v>
      </c>
      <c r="E45" s="8">
        <v>79</v>
      </c>
      <c r="F45" s="9">
        <v>0.02</v>
      </c>
      <c r="G45" s="7" t="s">
        <v>961</v>
      </c>
    </row>
    <row r="46" spans="1:7" x14ac:dyDescent="0.3">
      <c r="A46" s="7">
        <v>25003</v>
      </c>
      <c r="B46" s="7" t="s">
        <v>453</v>
      </c>
      <c r="C46" s="7" t="s">
        <v>452</v>
      </c>
      <c r="D46" s="8">
        <v>128726</v>
      </c>
      <c r="E46" s="8">
        <v>43</v>
      </c>
      <c r="F46" s="9">
        <v>0.13</v>
      </c>
      <c r="G46" s="7" t="s">
        <v>961</v>
      </c>
    </row>
    <row r="47" spans="1:7" x14ac:dyDescent="0.3">
      <c r="A47" s="7">
        <v>35001</v>
      </c>
      <c r="B47" s="7" t="s">
        <v>29</v>
      </c>
      <c r="C47" s="7" t="s">
        <v>28</v>
      </c>
      <c r="D47" s="8">
        <v>671747</v>
      </c>
      <c r="E47" s="8">
        <v>308</v>
      </c>
      <c r="F47" s="9">
        <v>7.0000000000000007E-2</v>
      </c>
      <c r="G47" s="7" t="s">
        <v>961</v>
      </c>
    </row>
    <row r="48" spans="1:7" x14ac:dyDescent="0.3">
      <c r="A48" s="7">
        <v>26021</v>
      </c>
      <c r="B48" s="7" t="s">
        <v>480</v>
      </c>
      <c r="C48" s="7" t="s">
        <v>654</v>
      </c>
      <c r="D48" s="8">
        <v>152703</v>
      </c>
      <c r="E48" s="8">
        <v>29</v>
      </c>
      <c r="F48" s="9">
        <v>0.33</v>
      </c>
      <c r="G48" s="7"/>
    </row>
    <row r="49" spans="1:7" x14ac:dyDescent="0.3">
      <c r="A49" s="7">
        <v>48029</v>
      </c>
      <c r="B49" s="7" t="s">
        <v>604</v>
      </c>
      <c r="C49" s="7" t="s">
        <v>717</v>
      </c>
      <c r="D49" s="8">
        <v>2127737</v>
      </c>
      <c r="E49" s="8">
        <v>340</v>
      </c>
      <c r="F49" s="9">
        <v>0.03</v>
      </c>
      <c r="G49" s="7" t="s">
        <v>961</v>
      </c>
    </row>
    <row r="50" spans="1:7" x14ac:dyDescent="0.3">
      <c r="A50" s="7">
        <v>13021</v>
      </c>
      <c r="B50" s="7" t="s">
        <v>469</v>
      </c>
      <c r="C50" s="7" t="s">
        <v>575</v>
      </c>
      <c r="D50" s="8">
        <v>157056</v>
      </c>
      <c r="E50" s="8">
        <v>36</v>
      </c>
      <c r="F50" s="9">
        <v>0.6</v>
      </c>
      <c r="G50" s="7" t="s">
        <v>961</v>
      </c>
    </row>
    <row r="51" spans="1:7" x14ac:dyDescent="0.3">
      <c r="A51" s="7">
        <v>19013</v>
      </c>
      <c r="B51" s="7" t="s">
        <v>627</v>
      </c>
      <c r="C51" s="7" t="s">
        <v>871</v>
      </c>
      <c r="D51" s="8">
        <v>132348</v>
      </c>
      <c r="E51" s="8">
        <v>12</v>
      </c>
      <c r="F51" s="9">
        <v>0</v>
      </c>
      <c r="G51" s="7" t="s">
        <v>961</v>
      </c>
    </row>
    <row r="52" spans="1:7" x14ac:dyDescent="0.3">
      <c r="A52" s="7">
        <v>42013</v>
      </c>
      <c r="B52" s="7" t="s">
        <v>19</v>
      </c>
      <c r="C52" s="7" t="s">
        <v>465</v>
      </c>
      <c r="D52" s="8">
        <v>120269</v>
      </c>
      <c r="E52" s="8">
        <v>39</v>
      </c>
      <c r="F52" s="9">
        <v>0.06</v>
      </c>
      <c r="G52" s="7" t="s">
        <v>961</v>
      </c>
    </row>
    <row r="53" spans="1:7" x14ac:dyDescent="0.3">
      <c r="A53" s="7">
        <v>47009</v>
      </c>
      <c r="B53" s="7" t="s">
        <v>27</v>
      </c>
      <c r="C53" s="7" t="s">
        <v>519</v>
      </c>
      <c r="D53" s="8">
        <v>142211</v>
      </c>
      <c r="E53" s="8">
        <v>38</v>
      </c>
      <c r="F53" s="9">
        <v>0.17</v>
      </c>
      <c r="G53" s="7" t="s">
        <v>961</v>
      </c>
    </row>
    <row r="54" spans="1:7" x14ac:dyDescent="0.3">
      <c r="A54" s="7">
        <v>16019</v>
      </c>
      <c r="B54" s="7" t="s">
        <v>610</v>
      </c>
      <c r="C54" s="7" t="s">
        <v>703</v>
      </c>
      <c r="D54" s="8">
        <v>133644</v>
      </c>
      <c r="E54" s="8">
        <v>22</v>
      </c>
      <c r="F54" s="9">
        <v>0.3</v>
      </c>
      <c r="G54" s="7" t="s">
        <v>961</v>
      </c>
    </row>
    <row r="55" spans="1:7" x14ac:dyDescent="0.3">
      <c r="A55" s="7">
        <v>21015</v>
      </c>
      <c r="B55" s="7" t="s">
        <v>41</v>
      </c>
      <c r="C55" s="7" t="s">
        <v>835</v>
      </c>
      <c r="D55" s="8">
        <v>144135</v>
      </c>
      <c r="E55" s="8">
        <v>14</v>
      </c>
      <c r="F55" s="9">
        <v>0</v>
      </c>
      <c r="G55" s="7"/>
    </row>
    <row r="56" spans="1:7" x14ac:dyDescent="0.3">
      <c r="A56" s="7">
        <v>29019</v>
      </c>
      <c r="B56" s="7" t="s">
        <v>230</v>
      </c>
      <c r="C56" s="7" t="s">
        <v>835</v>
      </c>
      <c r="D56" s="8">
        <v>192154</v>
      </c>
      <c r="E56" s="8">
        <v>21</v>
      </c>
      <c r="F56" s="9">
        <v>7.0000000000000007E-2</v>
      </c>
      <c r="G56" s="7" t="s">
        <v>961</v>
      </c>
    </row>
    <row r="57" spans="1:7" x14ac:dyDescent="0.3">
      <c r="A57" s="7">
        <v>22015</v>
      </c>
      <c r="B57" s="7" t="s">
        <v>24</v>
      </c>
      <c r="C57" s="7" t="s">
        <v>633</v>
      </c>
      <c r="D57" s="8">
        <v>131102</v>
      </c>
      <c r="E57" s="8">
        <v>26</v>
      </c>
      <c r="F57" s="9">
        <v>0</v>
      </c>
      <c r="G57" s="7"/>
    </row>
    <row r="58" spans="1:7" x14ac:dyDescent="0.3">
      <c r="A58" s="7">
        <v>8013</v>
      </c>
      <c r="B58" s="7" t="s">
        <v>17</v>
      </c>
      <c r="C58" s="7" t="s">
        <v>759</v>
      </c>
      <c r="D58" s="8">
        <v>330262</v>
      </c>
      <c r="E58" s="8">
        <v>47</v>
      </c>
      <c r="F58" s="9">
        <v>0.05</v>
      </c>
      <c r="G58" s="7"/>
    </row>
    <row r="59" spans="1:7" x14ac:dyDescent="0.3">
      <c r="A59" s="7">
        <v>47011</v>
      </c>
      <c r="B59" s="7" t="s">
        <v>27</v>
      </c>
      <c r="C59" s="7" t="s">
        <v>462</v>
      </c>
      <c r="D59" s="8">
        <v>113782</v>
      </c>
      <c r="E59" s="8">
        <v>37</v>
      </c>
      <c r="F59" s="9">
        <v>0</v>
      </c>
      <c r="G59" s="7"/>
    </row>
    <row r="60" spans="1:7" x14ac:dyDescent="0.3">
      <c r="A60" s="7">
        <v>48039</v>
      </c>
      <c r="B60" s="7" t="s">
        <v>604</v>
      </c>
      <c r="C60" s="7" t="s">
        <v>762</v>
      </c>
      <c r="D60" s="8">
        <v>413224</v>
      </c>
      <c r="E60" s="8">
        <v>58</v>
      </c>
      <c r="F60" s="9">
        <v>0.13</v>
      </c>
      <c r="G60" s="7" t="s">
        <v>961</v>
      </c>
    </row>
    <row r="61" spans="1:7" x14ac:dyDescent="0.3">
      <c r="A61" s="7">
        <v>48041</v>
      </c>
      <c r="B61" s="7" t="s">
        <v>604</v>
      </c>
      <c r="C61" s="7" t="s">
        <v>904</v>
      </c>
      <c r="D61" s="8">
        <v>249624</v>
      </c>
      <c r="E61" s="8"/>
      <c r="F61" s="9">
        <v>0.3</v>
      </c>
      <c r="G61" s="7" t="s">
        <v>961</v>
      </c>
    </row>
    <row r="62" spans="1:7" x14ac:dyDescent="0.3">
      <c r="A62" s="7">
        <v>12009</v>
      </c>
      <c r="B62" s="7" t="s">
        <v>50</v>
      </c>
      <c r="C62" s="7" t="s">
        <v>497</v>
      </c>
      <c r="D62" s="8">
        <v>658447</v>
      </c>
      <c r="E62" s="8">
        <v>187</v>
      </c>
      <c r="F62" s="9">
        <v>0.38</v>
      </c>
      <c r="G62" s="7" t="s">
        <v>961</v>
      </c>
    </row>
    <row r="63" spans="1:7" x14ac:dyDescent="0.3">
      <c r="A63" s="7">
        <v>25005</v>
      </c>
      <c r="B63" s="7" t="s">
        <v>453</v>
      </c>
      <c r="C63" s="7" t="s">
        <v>602</v>
      </c>
      <c r="D63" s="8">
        <v>588593</v>
      </c>
      <c r="E63" s="8">
        <v>127</v>
      </c>
      <c r="F63" s="9">
        <v>0.11</v>
      </c>
      <c r="G63" s="7"/>
    </row>
    <row r="64" spans="1:7" x14ac:dyDescent="0.3">
      <c r="A64" s="7">
        <v>36005</v>
      </c>
      <c r="B64" s="7" t="s">
        <v>32</v>
      </c>
      <c r="C64" s="7" t="s">
        <v>31</v>
      </c>
      <c r="D64" s="8">
        <v>1384724</v>
      </c>
      <c r="E64" s="8">
        <v>582</v>
      </c>
      <c r="F64" s="9">
        <v>0.89</v>
      </c>
      <c r="G64" s="7" t="s">
        <v>961</v>
      </c>
    </row>
    <row r="65" spans="1:7" x14ac:dyDescent="0.3">
      <c r="A65" s="7">
        <v>36007</v>
      </c>
      <c r="B65" s="7" t="s">
        <v>32</v>
      </c>
      <c r="C65" s="7" t="s">
        <v>632</v>
      </c>
      <c r="D65" s="8">
        <v>196397</v>
      </c>
      <c r="E65" s="8">
        <v>39</v>
      </c>
      <c r="F65" s="9">
        <v>0.52</v>
      </c>
      <c r="G65" s="7" t="s">
        <v>961</v>
      </c>
    </row>
    <row r="66" spans="1:7" x14ac:dyDescent="0.3">
      <c r="A66" s="7">
        <v>12011</v>
      </c>
      <c r="B66" s="7" t="s">
        <v>50</v>
      </c>
      <c r="C66" s="7" t="s">
        <v>755</v>
      </c>
      <c r="D66" s="8">
        <v>2037472</v>
      </c>
      <c r="E66" s="8">
        <v>295</v>
      </c>
      <c r="F66" s="9">
        <v>0.2</v>
      </c>
      <c r="G66" s="7"/>
    </row>
    <row r="67" spans="1:7" x14ac:dyDescent="0.3">
      <c r="A67" s="7">
        <v>55009</v>
      </c>
      <c r="B67" s="7" t="s">
        <v>38</v>
      </c>
      <c r="C67" s="7" t="s">
        <v>833</v>
      </c>
      <c r="D67" s="8">
        <v>273909</v>
      </c>
      <c r="E67" s="8">
        <v>30</v>
      </c>
      <c r="F67" s="9">
        <v>0.09</v>
      </c>
      <c r="G67" s="7" t="s">
        <v>961</v>
      </c>
    </row>
    <row r="68" spans="1:7" x14ac:dyDescent="0.3">
      <c r="A68" s="7">
        <v>37019</v>
      </c>
      <c r="B68" s="7" t="s">
        <v>467</v>
      </c>
      <c r="C68" s="7" t="s">
        <v>674</v>
      </c>
      <c r="D68" s="8">
        <v>167112</v>
      </c>
      <c r="E68" s="8">
        <v>30</v>
      </c>
      <c r="F68" s="9">
        <v>0.5</v>
      </c>
      <c r="G68" s="7" t="s">
        <v>961</v>
      </c>
    </row>
    <row r="69" spans="1:7" x14ac:dyDescent="0.3">
      <c r="A69" s="7">
        <v>42017</v>
      </c>
      <c r="B69" s="7" t="s">
        <v>19</v>
      </c>
      <c r="C69" s="7" t="s">
        <v>671</v>
      </c>
      <c r="D69" s="8">
        <v>650131</v>
      </c>
      <c r="E69" s="8">
        <v>117</v>
      </c>
      <c r="F69" s="9">
        <v>0.18</v>
      </c>
      <c r="G69" s="7" t="s">
        <v>961</v>
      </c>
    </row>
    <row r="70" spans="1:7" x14ac:dyDescent="0.3">
      <c r="A70" s="7">
        <v>37021</v>
      </c>
      <c r="B70" s="7" t="s">
        <v>467</v>
      </c>
      <c r="C70" s="7" t="s">
        <v>584</v>
      </c>
      <c r="D70" s="8">
        <v>279210</v>
      </c>
      <c r="E70" s="8">
        <v>63</v>
      </c>
      <c r="F70" s="9">
        <v>0.79</v>
      </c>
      <c r="G70" s="7" t="s">
        <v>961</v>
      </c>
    </row>
    <row r="71" spans="1:7" x14ac:dyDescent="0.3">
      <c r="A71" s="7">
        <v>38015</v>
      </c>
      <c r="B71" s="7" t="s">
        <v>705</v>
      </c>
      <c r="C71" s="7" t="s">
        <v>905</v>
      </c>
      <c r="D71" s="8">
        <v>103107</v>
      </c>
      <c r="E71" s="8"/>
      <c r="F71" s="9">
        <v>0</v>
      </c>
      <c r="G71" s="7"/>
    </row>
    <row r="72" spans="1:7" x14ac:dyDescent="0.3">
      <c r="A72" s="7">
        <v>34005</v>
      </c>
      <c r="B72" s="7" t="s">
        <v>237</v>
      </c>
      <c r="C72" s="7" t="s">
        <v>724</v>
      </c>
      <c r="D72" s="8">
        <v>475515</v>
      </c>
      <c r="E72" s="8">
        <v>74</v>
      </c>
      <c r="F72" s="9">
        <v>0.16</v>
      </c>
      <c r="G72" s="7" t="s">
        <v>961</v>
      </c>
    </row>
    <row r="73" spans="1:7" x14ac:dyDescent="0.3">
      <c r="A73" s="7">
        <v>42019</v>
      </c>
      <c r="B73" s="7" t="s">
        <v>19</v>
      </c>
      <c r="C73" s="7" t="s">
        <v>541</v>
      </c>
      <c r="D73" s="8">
        <v>199341</v>
      </c>
      <c r="E73" s="8">
        <v>38</v>
      </c>
      <c r="F73" s="9">
        <v>0</v>
      </c>
      <c r="G73" s="7"/>
    </row>
    <row r="74" spans="1:7" x14ac:dyDescent="0.3">
      <c r="A74" s="7">
        <v>39017</v>
      </c>
      <c r="B74" s="7" t="s">
        <v>447</v>
      </c>
      <c r="C74" s="7" t="s">
        <v>541</v>
      </c>
      <c r="D74" s="8">
        <v>399542</v>
      </c>
      <c r="E74" s="8">
        <v>100</v>
      </c>
      <c r="F74" s="9">
        <v>0.03</v>
      </c>
      <c r="G74" s="7"/>
    </row>
    <row r="75" spans="1:7" x14ac:dyDescent="0.3">
      <c r="A75" s="7">
        <v>6007</v>
      </c>
      <c r="B75" s="7" t="s">
        <v>15</v>
      </c>
      <c r="C75" s="7" t="s">
        <v>233</v>
      </c>
      <c r="D75" s="8">
        <v>208334</v>
      </c>
      <c r="E75" s="8">
        <v>127</v>
      </c>
      <c r="F75" s="9">
        <v>0.09</v>
      </c>
      <c r="G75" s="7"/>
    </row>
    <row r="76" spans="1:7" x14ac:dyDescent="0.3">
      <c r="A76" s="7">
        <v>37025</v>
      </c>
      <c r="B76" s="7" t="s">
        <v>467</v>
      </c>
      <c r="C76" s="7" t="s">
        <v>767</v>
      </c>
      <c r="D76" s="8">
        <v>244925</v>
      </c>
      <c r="E76" s="8">
        <v>34</v>
      </c>
      <c r="F76" s="9">
        <v>0.77</v>
      </c>
      <c r="G76" s="7" t="s">
        <v>961</v>
      </c>
    </row>
    <row r="77" spans="1:7" x14ac:dyDescent="0.3">
      <c r="A77" s="7">
        <v>49005</v>
      </c>
      <c r="B77" s="7" t="s">
        <v>572</v>
      </c>
      <c r="C77" s="7" t="s">
        <v>889</v>
      </c>
      <c r="D77" s="8">
        <v>145487</v>
      </c>
      <c r="E77" s="8">
        <v>11</v>
      </c>
      <c r="F77" s="9">
        <v>0.13</v>
      </c>
      <c r="G77" s="7"/>
    </row>
    <row r="78" spans="1:7" x14ac:dyDescent="0.3">
      <c r="A78" s="7">
        <v>22017</v>
      </c>
      <c r="B78" s="7" t="s">
        <v>24</v>
      </c>
      <c r="C78" s="7" t="s">
        <v>732</v>
      </c>
      <c r="D78" s="8">
        <v>224893</v>
      </c>
      <c r="E78" s="8">
        <v>34</v>
      </c>
      <c r="F78" s="9">
        <v>0</v>
      </c>
      <c r="G78" s="7"/>
    </row>
    <row r="79" spans="1:7" x14ac:dyDescent="0.3">
      <c r="A79" s="7">
        <v>22019</v>
      </c>
      <c r="B79" s="7" t="s">
        <v>24</v>
      </c>
      <c r="C79" s="7" t="s">
        <v>547</v>
      </c>
      <c r="D79" s="8">
        <v>206861</v>
      </c>
      <c r="E79" s="8">
        <v>51</v>
      </c>
      <c r="F79" s="9">
        <v>0</v>
      </c>
      <c r="G79" s="7"/>
    </row>
    <row r="80" spans="1:7" x14ac:dyDescent="0.3">
      <c r="A80" s="7">
        <v>26025</v>
      </c>
      <c r="B80" s="7" t="s">
        <v>480</v>
      </c>
      <c r="C80" s="7" t="s">
        <v>498</v>
      </c>
      <c r="D80" s="8">
        <v>133785</v>
      </c>
      <c r="E80" s="8">
        <v>28</v>
      </c>
      <c r="F80" s="9">
        <v>0.37</v>
      </c>
      <c r="G80" s="7" t="s">
        <v>961</v>
      </c>
    </row>
    <row r="81" spans="1:7" x14ac:dyDescent="0.3">
      <c r="A81" s="7">
        <v>1015</v>
      </c>
      <c r="B81" s="7" t="s">
        <v>463</v>
      </c>
      <c r="C81" s="7" t="s">
        <v>498</v>
      </c>
      <c r="D81" s="8">
        <v>116427</v>
      </c>
      <c r="E81" s="8">
        <v>33</v>
      </c>
      <c r="F81" s="9">
        <v>0.12</v>
      </c>
      <c r="G81" s="7" t="s">
        <v>961</v>
      </c>
    </row>
    <row r="82" spans="1:7" x14ac:dyDescent="0.3">
      <c r="A82" s="7">
        <v>42021</v>
      </c>
      <c r="B82" s="7" t="s">
        <v>19</v>
      </c>
      <c r="C82" s="7" t="s">
        <v>770</v>
      </c>
      <c r="D82" s="8">
        <v>130108</v>
      </c>
      <c r="E82" s="8">
        <v>18</v>
      </c>
      <c r="F82" s="9">
        <v>0.22</v>
      </c>
      <c r="G82" s="7" t="s">
        <v>961</v>
      </c>
    </row>
    <row r="83" spans="1:7" x14ac:dyDescent="0.3">
      <c r="A83" s="7">
        <v>34007</v>
      </c>
      <c r="B83" s="7" t="s">
        <v>237</v>
      </c>
      <c r="C83" s="7" t="s">
        <v>471</v>
      </c>
      <c r="D83" s="8">
        <v>533988</v>
      </c>
      <c r="E83" s="8">
        <v>170</v>
      </c>
      <c r="F83" s="9">
        <v>0.18</v>
      </c>
      <c r="G83" s="7"/>
    </row>
    <row r="84" spans="1:7" x14ac:dyDescent="0.3">
      <c r="A84" s="7">
        <v>48061</v>
      </c>
      <c r="B84" s="7" t="s">
        <v>604</v>
      </c>
      <c r="C84" s="7" t="s">
        <v>888</v>
      </c>
      <c r="D84" s="8">
        <v>431874</v>
      </c>
      <c r="E84" s="8">
        <v>33</v>
      </c>
      <c r="F84" s="9">
        <v>0.23</v>
      </c>
      <c r="G84" s="7" t="s">
        <v>961</v>
      </c>
    </row>
    <row r="85" spans="1:7" x14ac:dyDescent="0.3">
      <c r="A85" s="7">
        <v>40017</v>
      </c>
      <c r="B85" s="7" t="s">
        <v>490</v>
      </c>
      <c r="C85" s="7" t="s">
        <v>877</v>
      </c>
      <c r="D85" s="8">
        <v>181760</v>
      </c>
      <c r="E85" s="8">
        <v>16</v>
      </c>
      <c r="F85" s="9">
        <v>0.08</v>
      </c>
      <c r="G85" s="7"/>
    </row>
    <row r="86" spans="1:7" x14ac:dyDescent="0.3">
      <c r="A86" s="7">
        <v>16027</v>
      </c>
      <c r="B86" s="7" t="s">
        <v>610</v>
      </c>
      <c r="C86" s="7" t="s">
        <v>785</v>
      </c>
      <c r="D86" s="8">
        <v>266892</v>
      </c>
      <c r="E86" s="8">
        <v>35</v>
      </c>
      <c r="F86" s="9">
        <v>0.21</v>
      </c>
      <c r="G86" s="7"/>
    </row>
    <row r="87" spans="1:7" x14ac:dyDescent="0.3">
      <c r="A87" s="7">
        <v>9110</v>
      </c>
      <c r="B87" s="7" t="s">
        <v>907</v>
      </c>
      <c r="C87" s="7" t="s">
        <v>906</v>
      </c>
      <c r="D87" s="8">
        <v>991508</v>
      </c>
      <c r="E87" s="8"/>
      <c r="F87" s="9"/>
      <c r="G87" s="7"/>
    </row>
    <row r="88" spans="1:7" x14ac:dyDescent="0.3">
      <c r="A88" s="7">
        <v>13045</v>
      </c>
      <c r="B88" s="7" t="s">
        <v>469</v>
      </c>
      <c r="C88" s="7" t="s">
        <v>629</v>
      </c>
      <c r="D88" s="8">
        <v>129911</v>
      </c>
      <c r="E88" s="8">
        <v>26</v>
      </c>
      <c r="F88" s="9">
        <v>0</v>
      </c>
      <c r="G88" s="7" t="s">
        <v>961</v>
      </c>
    </row>
    <row r="89" spans="1:7" x14ac:dyDescent="0.3">
      <c r="A89" s="7">
        <v>24013</v>
      </c>
      <c r="B89" s="7" t="s">
        <v>11</v>
      </c>
      <c r="C89" s="7" t="s">
        <v>629</v>
      </c>
      <c r="D89" s="8">
        <v>177108</v>
      </c>
      <c r="E89" s="8">
        <v>31</v>
      </c>
      <c r="F89" s="9">
        <v>0</v>
      </c>
      <c r="G89" s="7"/>
    </row>
    <row r="90" spans="1:7" x14ac:dyDescent="0.3">
      <c r="A90" s="7">
        <v>27019</v>
      </c>
      <c r="B90" s="7" t="s">
        <v>475</v>
      </c>
      <c r="C90" s="7" t="s">
        <v>908</v>
      </c>
      <c r="D90" s="8">
        <v>112628</v>
      </c>
      <c r="E90" s="8"/>
      <c r="F90" s="9">
        <v>0</v>
      </c>
      <c r="G90" s="7"/>
    </row>
    <row r="91" spans="1:7" x14ac:dyDescent="0.3">
      <c r="A91" s="7">
        <v>38017</v>
      </c>
      <c r="B91" s="7" t="s">
        <v>705</v>
      </c>
      <c r="C91" s="7" t="s">
        <v>558</v>
      </c>
      <c r="D91" s="8">
        <v>200945</v>
      </c>
      <c r="E91" s="8">
        <v>33</v>
      </c>
      <c r="F91" s="9">
        <v>0</v>
      </c>
      <c r="G91" s="7"/>
    </row>
    <row r="92" spans="1:7" x14ac:dyDescent="0.3">
      <c r="A92" s="7">
        <v>29037</v>
      </c>
      <c r="B92" s="7" t="s">
        <v>230</v>
      </c>
      <c r="C92" s="7" t="s">
        <v>558</v>
      </c>
      <c r="D92" s="8">
        <v>113873</v>
      </c>
      <c r="E92" s="8">
        <v>27</v>
      </c>
      <c r="F92" s="9">
        <v>0</v>
      </c>
      <c r="G92" s="7"/>
    </row>
    <row r="93" spans="1:7" x14ac:dyDescent="0.3">
      <c r="A93" s="7">
        <v>37035</v>
      </c>
      <c r="B93" s="7" t="s">
        <v>467</v>
      </c>
      <c r="C93" s="7" t="s">
        <v>466</v>
      </c>
      <c r="D93" s="8">
        <v>167054</v>
      </c>
      <c r="E93" s="8">
        <v>54</v>
      </c>
      <c r="F93" s="9">
        <v>0.84</v>
      </c>
      <c r="G93" s="7" t="s">
        <v>961</v>
      </c>
    </row>
    <row r="94" spans="1:7" x14ac:dyDescent="0.3">
      <c r="A94" s="7">
        <v>24015</v>
      </c>
      <c r="B94" s="7" t="s">
        <v>11</v>
      </c>
      <c r="C94" s="7" t="s">
        <v>251</v>
      </c>
      <c r="D94" s="8">
        <v>106305</v>
      </c>
      <c r="E94" s="8">
        <v>50</v>
      </c>
      <c r="F94" s="9">
        <v>0.18</v>
      </c>
      <c r="G94" s="7"/>
    </row>
    <row r="95" spans="1:7" x14ac:dyDescent="0.3">
      <c r="A95" s="7">
        <v>42027</v>
      </c>
      <c r="B95" s="7" t="s">
        <v>19</v>
      </c>
      <c r="C95" s="7" t="s">
        <v>909</v>
      </c>
      <c r="D95" s="8">
        <v>159805</v>
      </c>
      <c r="E95" s="8"/>
      <c r="F95" s="9">
        <v>0.09</v>
      </c>
      <c r="G95" s="7" t="s">
        <v>961</v>
      </c>
    </row>
    <row r="96" spans="1:7" x14ac:dyDescent="0.3">
      <c r="A96" s="7">
        <v>17019</v>
      </c>
      <c r="B96" s="7" t="s">
        <v>262</v>
      </c>
      <c r="C96" s="7" t="s">
        <v>797</v>
      </c>
      <c r="D96" s="8">
        <v>212374</v>
      </c>
      <c r="E96" s="8">
        <v>27</v>
      </c>
      <c r="F96" s="9">
        <v>7.0000000000000007E-2</v>
      </c>
      <c r="G96" s="7" t="s">
        <v>961</v>
      </c>
    </row>
    <row r="97" spans="1:7" x14ac:dyDescent="0.3">
      <c r="A97" s="7">
        <v>24017</v>
      </c>
      <c r="B97" s="7" t="s">
        <v>11</v>
      </c>
      <c r="C97" s="7" t="s">
        <v>857</v>
      </c>
      <c r="D97" s="8">
        <v>174478</v>
      </c>
      <c r="E97" s="8">
        <v>17</v>
      </c>
      <c r="F97" s="9">
        <v>7.0000000000000007E-2</v>
      </c>
      <c r="G97" s="7"/>
    </row>
    <row r="98" spans="1:7" x14ac:dyDescent="0.3">
      <c r="A98" s="7">
        <v>45019</v>
      </c>
      <c r="B98" s="7" t="s">
        <v>458</v>
      </c>
      <c r="C98" s="7" t="s">
        <v>530</v>
      </c>
      <c r="D98" s="8">
        <v>431001</v>
      </c>
      <c r="E98" s="8">
        <v>112</v>
      </c>
      <c r="F98" s="9">
        <v>0.17</v>
      </c>
      <c r="G98" s="7" t="s">
        <v>961</v>
      </c>
    </row>
    <row r="99" spans="1:7" x14ac:dyDescent="0.3">
      <c r="A99" s="7">
        <v>12015</v>
      </c>
      <c r="B99" s="7" t="s">
        <v>50</v>
      </c>
      <c r="C99" s="7" t="s">
        <v>734</v>
      </c>
      <c r="D99" s="8">
        <v>212122</v>
      </c>
      <c r="E99" s="8">
        <v>32</v>
      </c>
      <c r="F99" s="9">
        <v>0.09</v>
      </c>
      <c r="G99" s="7"/>
    </row>
    <row r="100" spans="1:7" x14ac:dyDescent="0.3">
      <c r="A100" s="7">
        <v>13051</v>
      </c>
      <c r="B100" s="7" t="s">
        <v>469</v>
      </c>
      <c r="C100" s="7" t="s">
        <v>799</v>
      </c>
      <c r="D100" s="8">
        <v>307336</v>
      </c>
      <c r="E100" s="8">
        <v>39</v>
      </c>
      <c r="F100" s="9">
        <v>0.61</v>
      </c>
      <c r="G100" s="7"/>
    </row>
    <row r="101" spans="1:7" x14ac:dyDescent="0.3">
      <c r="A101" s="7">
        <v>36013</v>
      </c>
      <c r="B101" s="7" t="s">
        <v>32</v>
      </c>
      <c r="C101" s="7" t="s">
        <v>542</v>
      </c>
      <c r="D101" s="8">
        <v>124105</v>
      </c>
      <c r="E101" s="8">
        <v>31</v>
      </c>
      <c r="F101" s="9">
        <v>7.0000000000000007E-2</v>
      </c>
      <c r="G101" s="7" t="s">
        <v>961</v>
      </c>
    </row>
    <row r="102" spans="1:7" x14ac:dyDescent="0.3">
      <c r="A102" s="7">
        <v>13057</v>
      </c>
      <c r="B102" s="7" t="s">
        <v>469</v>
      </c>
      <c r="C102" s="7" t="s">
        <v>836</v>
      </c>
      <c r="D102" s="8">
        <v>293513</v>
      </c>
      <c r="E102" s="8">
        <v>32</v>
      </c>
      <c r="F102" s="9">
        <v>0.24</v>
      </c>
      <c r="G102" s="7" t="s">
        <v>961</v>
      </c>
    </row>
    <row r="103" spans="1:7" x14ac:dyDescent="0.3">
      <c r="A103" s="7">
        <v>51550</v>
      </c>
      <c r="B103" s="7" t="s">
        <v>239</v>
      </c>
      <c r="C103" s="7" t="s">
        <v>739</v>
      </c>
      <c r="D103" s="8">
        <v>254997</v>
      </c>
      <c r="E103" s="8">
        <v>38</v>
      </c>
      <c r="F103" s="9">
        <v>0.14000000000000001</v>
      </c>
      <c r="G103" s="7"/>
    </row>
    <row r="104" spans="1:7" x14ac:dyDescent="0.3">
      <c r="A104" s="7">
        <v>42029</v>
      </c>
      <c r="B104" s="7" t="s">
        <v>19</v>
      </c>
      <c r="C104" s="7" t="s">
        <v>792</v>
      </c>
      <c r="D104" s="8">
        <v>560745</v>
      </c>
      <c r="E104" s="8">
        <v>72</v>
      </c>
      <c r="F104" s="9">
        <v>0.05</v>
      </c>
      <c r="G104" s="7" t="s">
        <v>961</v>
      </c>
    </row>
    <row r="105" spans="1:7" x14ac:dyDescent="0.3">
      <c r="A105" s="7">
        <v>51041</v>
      </c>
      <c r="B105" s="7" t="s">
        <v>239</v>
      </c>
      <c r="C105" s="7" t="s">
        <v>793</v>
      </c>
      <c r="D105" s="8">
        <v>389793</v>
      </c>
      <c r="E105" s="8">
        <v>50</v>
      </c>
      <c r="F105" s="9">
        <v>0.06</v>
      </c>
      <c r="G105" s="7"/>
    </row>
    <row r="106" spans="1:7" x14ac:dyDescent="0.3">
      <c r="A106" s="7">
        <v>50007</v>
      </c>
      <c r="B106" s="7" t="s">
        <v>659</v>
      </c>
      <c r="C106" s="7" t="s">
        <v>658</v>
      </c>
      <c r="D106" s="8">
        <v>170851</v>
      </c>
      <c r="E106" s="8">
        <v>32</v>
      </c>
      <c r="F106" s="9">
        <v>0</v>
      </c>
      <c r="G106" s="7"/>
    </row>
    <row r="107" spans="1:7" x14ac:dyDescent="0.3">
      <c r="A107" s="7">
        <v>12017</v>
      </c>
      <c r="B107" s="7" t="s">
        <v>50</v>
      </c>
      <c r="C107" s="7" t="s">
        <v>664</v>
      </c>
      <c r="D107" s="8">
        <v>170174</v>
      </c>
      <c r="E107" s="8">
        <v>31</v>
      </c>
      <c r="F107" s="9">
        <v>0</v>
      </c>
      <c r="G107" s="7"/>
    </row>
    <row r="108" spans="1:7" x14ac:dyDescent="0.3">
      <c r="A108" s="7">
        <v>41005</v>
      </c>
      <c r="B108" s="7" t="s">
        <v>21</v>
      </c>
      <c r="C108" s="7" t="s">
        <v>554</v>
      </c>
      <c r="D108" s="8">
        <v>425857</v>
      </c>
      <c r="E108" s="8">
        <v>102</v>
      </c>
      <c r="F108" s="9">
        <v>0.33</v>
      </c>
      <c r="G108" s="7"/>
    </row>
    <row r="109" spans="1:7" x14ac:dyDescent="0.3">
      <c r="A109" s="7">
        <v>39023</v>
      </c>
      <c r="B109" s="7" t="s">
        <v>447</v>
      </c>
      <c r="C109" s="7" t="s">
        <v>461</v>
      </c>
      <c r="D109" s="8">
        <v>134985</v>
      </c>
      <c r="E109" s="8">
        <v>30</v>
      </c>
      <c r="F109" s="9">
        <v>0</v>
      </c>
      <c r="G109" s="7"/>
    </row>
    <row r="110" spans="1:7" x14ac:dyDescent="0.3">
      <c r="A110" s="10">
        <v>53011</v>
      </c>
      <c r="B110" s="10" t="s">
        <v>13</v>
      </c>
      <c r="C110" s="10" t="s">
        <v>461</v>
      </c>
      <c r="D110" s="11">
        <v>527269</v>
      </c>
      <c r="E110" s="11">
        <v>150</v>
      </c>
      <c r="F110" s="12">
        <v>0.13</v>
      </c>
      <c r="G110" s="10" t="s">
        <v>961</v>
      </c>
    </row>
    <row r="111" spans="1:7" x14ac:dyDescent="0.3">
      <c r="A111" s="7">
        <v>18019</v>
      </c>
      <c r="B111" s="7" t="s">
        <v>35</v>
      </c>
      <c r="C111" s="7" t="s">
        <v>461</v>
      </c>
      <c r="D111" s="8">
        <v>127479</v>
      </c>
      <c r="E111" s="8">
        <v>41</v>
      </c>
      <c r="F111" s="9">
        <v>0</v>
      </c>
      <c r="G111" s="7" t="s">
        <v>961</v>
      </c>
    </row>
    <row r="112" spans="1:7" x14ac:dyDescent="0.3">
      <c r="A112" s="7">
        <v>32003</v>
      </c>
      <c r="B112" s="7" t="s">
        <v>45</v>
      </c>
      <c r="C112" s="7" t="s">
        <v>461</v>
      </c>
      <c r="D112" s="8">
        <v>2398871</v>
      </c>
      <c r="E112" s="8">
        <v>784</v>
      </c>
      <c r="F112" s="9">
        <v>1.1000000000000001</v>
      </c>
      <c r="G112" s="7"/>
    </row>
    <row r="113" spans="1:7" x14ac:dyDescent="0.3">
      <c r="A113" s="7">
        <v>13059</v>
      </c>
      <c r="B113" s="7" t="s">
        <v>469</v>
      </c>
      <c r="C113" s="7" t="s">
        <v>605</v>
      </c>
      <c r="D113" s="8">
        <v>129995</v>
      </c>
      <c r="E113" s="8">
        <v>28</v>
      </c>
      <c r="F113" s="9">
        <v>0.22</v>
      </c>
      <c r="G113" s="7"/>
    </row>
    <row r="114" spans="1:7" x14ac:dyDescent="0.3">
      <c r="A114" s="7">
        <v>29047</v>
      </c>
      <c r="B114" s="7" t="s">
        <v>230</v>
      </c>
      <c r="C114" s="7" t="s">
        <v>663</v>
      </c>
      <c r="D114" s="8">
        <v>263370</v>
      </c>
      <c r="E114" s="8">
        <v>48</v>
      </c>
      <c r="F114" s="9">
        <v>0</v>
      </c>
      <c r="G114" s="7"/>
    </row>
    <row r="115" spans="1:7" x14ac:dyDescent="0.3">
      <c r="A115" s="7">
        <v>12019</v>
      </c>
      <c r="B115" s="7" t="s">
        <v>50</v>
      </c>
      <c r="C115" s="7" t="s">
        <v>663</v>
      </c>
      <c r="D115" s="8">
        <v>236760</v>
      </c>
      <c r="E115" s="8">
        <v>37</v>
      </c>
      <c r="F115" s="9">
        <v>0</v>
      </c>
      <c r="G115" s="7"/>
    </row>
    <row r="116" spans="1:7" x14ac:dyDescent="0.3">
      <c r="A116" s="7">
        <v>13063</v>
      </c>
      <c r="B116" s="7" t="s">
        <v>469</v>
      </c>
      <c r="C116" s="7" t="s">
        <v>773</v>
      </c>
      <c r="D116" s="8">
        <v>297703</v>
      </c>
      <c r="E116" s="8">
        <v>41</v>
      </c>
      <c r="F116" s="9">
        <v>0.25</v>
      </c>
      <c r="G116" s="7"/>
    </row>
    <row r="117" spans="1:7" x14ac:dyDescent="0.3">
      <c r="A117" s="7">
        <v>39025</v>
      </c>
      <c r="B117" s="7" t="s">
        <v>447</v>
      </c>
      <c r="C117" s="7" t="s">
        <v>810</v>
      </c>
      <c r="D117" s="8">
        <v>214123</v>
      </c>
      <c r="E117" s="8">
        <v>26</v>
      </c>
      <c r="F117" s="9">
        <v>0</v>
      </c>
      <c r="G117" s="7"/>
    </row>
    <row r="118" spans="1:7" x14ac:dyDescent="0.3">
      <c r="A118" s="7">
        <v>40027</v>
      </c>
      <c r="B118" s="7" t="s">
        <v>490</v>
      </c>
      <c r="C118" s="7" t="s">
        <v>549</v>
      </c>
      <c r="D118" s="8">
        <v>303952</v>
      </c>
      <c r="E118" s="8">
        <v>50</v>
      </c>
      <c r="F118" s="9">
        <v>0.15</v>
      </c>
      <c r="G118" s="7" t="s">
        <v>961</v>
      </c>
    </row>
    <row r="119" spans="1:7" x14ac:dyDescent="0.3">
      <c r="A119" s="7">
        <v>37045</v>
      </c>
      <c r="B119" s="7" t="s">
        <v>467</v>
      </c>
      <c r="C119" s="7" t="s">
        <v>549</v>
      </c>
      <c r="D119" s="8">
        <v>102194</v>
      </c>
      <c r="E119" s="8">
        <v>25</v>
      </c>
      <c r="F119" s="9">
        <v>0.56999999999999995</v>
      </c>
      <c r="G119" s="7" t="s">
        <v>961</v>
      </c>
    </row>
    <row r="120" spans="1:7" x14ac:dyDescent="0.3">
      <c r="A120" s="7">
        <v>13067</v>
      </c>
      <c r="B120" s="7" t="s">
        <v>469</v>
      </c>
      <c r="C120" s="7" t="s">
        <v>794</v>
      </c>
      <c r="D120" s="8">
        <v>787538</v>
      </c>
      <c r="E120" s="8">
        <v>101</v>
      </c>
      <c r="F120" s="9">
        <v>0.14000000000000001</v>
      </c>
      <c r="G120" s="7"/>
    </row>
    <row r="121" spans="1:7" x14ac:dyDescent="0.3">
      <c r="A121" s="7">
        <v>4003</v>
      </c>
      <c r="B121" s="7" t="s">
        <v>43</v>
      </c>
      <c r="C121" s="7" t="s">
        <v>484</v>
      </c>
      <c r="D121" s="8">
        <v>125773</v>
      </c>
      <c r="E121" s="8">
        <v>38</v>
      </c>
      <c r="F121" s="9">
        <v>0.06</v>
      </c>
      <c r="G121" s="7"/>
    </row>
    <row r="122" spans="1:7" x14ac:dyDescent="0.3">
      <c r="A122" s="7">
        <v>4005</v>
      </c>
      <c r="B122" s="7" t="s">
        <v>43</v>
      </c>
      <c r="C122" s="7" t="s">
        <v>264</v>
      </c>
      <c r="D122" s="8">
        <v>145161</v>
      </c>
      <c r="E122" s="8">
        <v>53</v>
      </c>
      <c r="F122" s="9">
        <v>0.46</v>
      </c>
      <c r="G122" s="7" t="s">
        <v>961</v>
      </c>
    </row>
    <row r="123" spans="1:7" x14ac:dyDescent="0.3">
      <c r="A123" s="7">
        <v>12021</v>
      </c>
      <c r="B123" s="7" t="s">
        <v>50</v>
      </c>
      <c r="C123" s="7" t="s">
        <v>847</v>
      </c>
      <c r="D123" s="8">
        <v>416233</v>
      </c>
      <c r="E123" s="8">
        <v>43</v>
      </c>
      <c r="F123" s="9">
        <v>0.1</v>
      </c>
      <c r="G123" s="7" t="s">
        <v>961</v>
      </c>
    </row>
    <row r="124" spans="1:7" x14ac:dyDescent="0.3">
      <c r="A124" s="7">
        <v>48085</v>
      </c>
      <c r="B124" s="7" t="s">
        <v>604</v>
      </c>
      <c r="C124" s="7" t="s">
        <v>891</v>
      </c>
      <c r="D124" s="8">
        <v>1254658</v>
      </c>
      <c r="E124" s="8">
        <v>87</v>
      </c>
      <c r="F124" s="9">
        <v>0.02</v>
      </c>
      <c r="G124" s="7" t="s">
        <v>961</v>
      </c>
    </row>
    <row r="125" spans="1:7" x14ac:dyDescent="0.3">
      <c r="A125" s="7">
        <v>13073</v>
      </c>
      <c r="B125" s="7" t="s">
        <v>469</v>
      </c>
      <c r="C125" s="7" t="s">
        <v>683</v>
      </c>
      <c r="D125" s="8">
        <v>167472</v>
      </c>
      <c r="E125" s="8">
        <v>29</v>
      </c>
      <c r="F125" s="9">
        <v>0.65</v>
      </c>
      <c r="G125" s="7"/>
    </row>
    <row r="126" spans="1:7" x14ac:dyDescent="0.3">
      <c r="A126" s="7">
        <v>48091</v>
      </c>
      <c r="B126" s="7" t="s">
        <v>604</v>
      </c>
      <c r="C126" s="7" t="s">
        <v>803</v>
      </c>
      <c r="D126" s="8">
        <v>201628</v>
      </c>
      <c r="E126" s="8">
        <v>25</v>
      </c>
      <c r="F126" s="9">
        <v>0</v>
      </c>
      <c r="G126" s="7" t="s">
        <v>961</v>
      </c>
    </row>
    <row r="127" spans="1:7" x14ac:dyDescent="0.3">
      <c r="A127" s="7">
        <v>40031</v>
      </c>
      <c r="B127" s="7" t="s">
        <v>490</v>
      </c>
      <c r="C127" s="7" t="s">
        <v>489</v>
      </c>
      <c r="D127" s="8">
        <v>121396</v>
      </c>
      <c r="E127" s="8">
        <v>36</v>
      </c>
      <c r="F127" s="9">
        <v>0.16</v>
      </c>
      <c r="G127" s="7" t="s">
        <v>961</v>
      </c>
    </row>
    <row r="128" spans="1:7" x14ac:dyDescent="0.3">
      <c r="A128" s="7">
        <v>6013</v>
      </c>
      <c r="B128" s="7" t="s">
        <v>15</v>
      </c>
      <c r="C128" s="7" t="s">
        <v>644</v>
      </c>
      <c r="D128" s="8">
        <v>1172607</v>
      </c>
      <c r="E128" s="8">
        <v>228</v>
      </c>
      <c r="F128" s="9">
        <v>0.13</v>
      </c>
      <c r="G128" s="7" t="s">
        <v>961</v>
      </c>
    </row>
    <row r="129" spans="1:7" x14ac:dyDescent="0.3">
      <c r="A129" s="7">
        <v>17031</v>
      </c>
      <c r="B129" s="7" t="s">
        <v>262</v>
      </c>
      <c r="C129" s="7" t="s">
        <v>651</v>
      </c>
      <c r="D129" s="8">
        <v>5182617</v>
      </c>
      <c r="E129" s="8">
        <v>988</v>
      </c>
      <c r="F129" s="9">
        <v>0.25</v>
      </c>
      <c r="G129" s="7"/>
    </row>
    <row r="130" spans="1:7" x14ac:dyDescent="0.3">
      <c r="A130" s="7">
        <v>13077</v>
      </c>
      <c r="B130" s="7" t="s">
        <v>469</v>
      </c>
      <c r="C130" s="7" t="s">
        <v>838</v>
      </c>
      <c r="D130" s="8">
        <v>158233</v>
      </c>
      <c r="E130" s="8">
        <v>17</v>
      </c>
      <c r="F130" s="9">
        <v>0.15</v>
      </c>
      <c r="G130" s="7"/>
    </row>
    <row r="131" spans="1:7" x14ac:dyDescent="0.3">
      <c r="A131" s="10">
        <v>53015</v>
      </c>
      <c r="B131" s="10" t="s">
        <v>13</v>
      </c>
      <c r="C131" s="10" t="s">
        <v>254</v>
      </c>
      <c r="D131" s="11">
        <v>113982</v>
      </c>
      <c r="E131" s="11">
        <v>49</v>
      </c>
      <c r="F131" s="12">
        <v>0</v>
      </c>
      <c r="G131" s="10" t="s">
        <v>961</v>
      </c>
    </row>
    <row r="132" spans="1:7" x14ac:dyDescent="0.3">
      <c r="A132" s="7">
        <v>5031</v>
      </c>
      <c r="B132" s="7" t="s">
        <v>588</v>
      </c>
      <c r="C132" s="7" t="s">
        <v>825</v>
      </c>
      <c r="D132" s="8">
        <v>115852</v>
      </c>
      <c r="E132" s="8">
        <v>13</v>
      </c>
      <c r="F132" s="9">
        <v>0.18</v>
      </c>
      <c r="G132" s="7"/>
    </row>
    <row r="133" spans="1:7" x14ac:dyDescent="0.3">
      <c r="A133" s="7">
        <v>37049</v>
      </c>
      <c r="B133" s="7" t="s">
        <v>467</v>
      </c>
      <c r="C133" s="7" t="s">
        <v>531</v>
      </c>
      <c r="D133" s="8">
        <v>104167</v>
      </c>
      <c r="E133" s="8">
        <v>27</v>
      </c>
      <c r="F133" s="9">
        <v>0.32</v>
      </c>
      <c r="G133" s="7" t="s">
        <v>961</v>
      </c>
    </row>
    <row r="134" spans="1:7" x14ac:dyDescent="0.3">
      <c r="A134" s="7">
        <v>34011</v>
      </c>
      <c r="B134" s="7" t="s">
        <v>237</v>
      </c>
      <c r="C134" s="7" t="s">
        <v>540</v>
      </c>
      <c r="D134" s="8">
        <v>155678</v>
      </c>
      <c r="E134" s="8">
        <v>39</v>
      </c>
      <c r="F134" s="9">
        <v>0.88</v>
      </c>
      <c r="G134" s="7" t="s">
        <v>961</v>
      </c>
    </row>
    <row r="135" spans="1:7" x14ac:dyDescent="0.3">
      <c r="A135" s="7">
        <v>42041</v>
      </c>
      <c r="B135" s="7" t="s">
        <v>19</v>
      </c>
      <c r="C135" s="7" t="s">
        <v>540</v>
      </c>
      <c r="D135" s="8">
        <v>275516</v>
      </c>
      <c r="E135" s="8">
        <v>27</v>
      </c>
      <c r="F135" s="9">
        <v>0</v>
      </c>
      <c r="G135" s="7" t="s">
        <v>961</v>
      </c>
    </row>
    <row r="136" spans="1:7" x14ac:dyDescent="0.3">
      <c r="A136" s="7">
        <v>37051</v>
      </c>
      <c r="B136" s="7" t="s">
        <v>467</v>
      </c>
      <c r="C136" s="7" t="s">
        <v>540</v>
      </c>
      <c r="D136" s="8">
        <v>338430</v>
      </c>
      <c r="E136" s="8">
        <v>55</v>
      </c>
      <c r="F136" s="9">
        <v>3.07</v>
      </c>
      <c r="G136" s="7" t="s">
        <v>961</v>
      </c>
    </row>
    <row r="137" spans="1:7" x14ac:dyDescent="0.3">
      <c r="A137" s="7">
        <v>23005</v>
      </c>
      <c r="B137" s="7" t="s">
        <v>455</v>
      </c>
      <c r="C137" s="7" t="s">
        <v>540</v>
      </c>
      <c r="D137" s="8">
        <v>313809</v>
      </c>
      <c r="E137" s="8">
        <v>70</v>
      </c>
      <c r="F137" s="9">
        <v>0</v>
      </c>
      <c r="G137" s="7"/>
    </row>
    <row r="138" spans="1:7" x14ac:dyDescent="0.3">
      <c r="A138" s="7">
        <v>39035</v>
      </c>
      <c r="B138" s="7" t="s">
        <v>447</v>
      </c>
      <c r="C138" s="7" t="s">
        <v>515</v>
      </c>
      <c r="D138" s="8">
        <v>1240594</v>
      </c>
      <c r="E138" s="8">
        <v>338</v>
      </c>
      <c r="F138" s="9">
        <v>0.04</v>
      </c>
      <c r="G138" s="7"/>
    </row>
    <row r="139" spans="1:7" x14ac:dyDescent="0.3">
      <c r="A139" s="7">
        <v>27037</v>
      </c>
      <c r="B139" s="7" t="s">
        <v>475</v>
      </c>
      <c r="C139" s="7" t="s">
        <v>814</v>
      </c>
      <c r="D139" s="8">
        <v>453156</v>
      </c>
      <c r="E139" s="8">
        <v>54</v>
      </c>
      <c r="F139" s="9">
        <v>0.03</v>
      </c>
      <c r="G139" s="7"/>
    </row>
    <row r="140" spans="1:7" x14ac:dyDescent="0.3">
      <c r="A140" s="7">
        <v>48113</v>
      </c>
      <c r="B140" s="7" t="s">
        <v>604</v>
      </c>
      <c r="C140" s="7" t="s">
        <v>603</v>
      </c>
      <c r="D140" s="8">
        <v>2656028</v>
      </c>
      <c r="E140" s="8">
        <v>573</v>
      </c>
      <c r="F140" s="9">
        <v>0.02</v>
      </c>
      <c r="G140" s="7" t="s">
        <v>961</v>
      </c>
    </row>
    <row r="141" spans="1:7" x14ac:dyDescent="0.3">
      <c r="A141" s="7">
        <v>19049</v>
      </c>
      <c r="B141" s="7" t="s">
        <v>627</v>
      </c>
      <c r="C141" s="7" t="s">
        <v>603</v>
      </c>
      <c r="D141" s="8">
        <v>115343</v>
      </c>
      <c r="E141" s="8">
        <v>16</v>
      </c>
      <c r="F141" s="9">
        <v>0</v>
      </c>
      <c r="G141" s="7" t="s">
        <v>961</v>
      </c>
    </row>
    <row r="142" spans="1:7" x14ac:dyDescent="0.3">
      <c r="A142" s="7">
        <v>55025</v>
      </c>
      <c r="B142" s="7" t="s">
        <v>38</v>
      </c>
      <c r="C142" s="7" t="s">
        <v>741</v>
      </c>
      <c r="D142" s="8">
        <v>588347</v>
      </c>
      <c r="E142" s="8">
        <v>87</v>
      </c>
      <c r="F142" s="9">
        <v>0.41</v>
      </c>
      <c r="G142" s="7"/>
    </row>
    <row r="143" spans="1:7" x14ac:dyDescent="0.3">
      <c r="A143" s="7">
        <v>42043</v>
      </c>
      <c r="B143" s="7" t="s">
        <v>19</v>
      </c>
      <c r="C143" s="7" t="s">
        <v>687</v>
      </c>
      <c r="D143" s="8">
        <v>293029</v>
      </c>
      <c r="E143" s="8">
        <v>50</v>
      </c>
      <c r="F143" s="9">
        <v>7.0000000000000007E-2</v>
      </c>
      <c r="G143" s="7"/>
    </row>
    <row r="144" spans="1:7" x14ac:dyDescent="0.3">
      <c r="A144" s="7">
        <v>47037</v>
      </c>
      <c r="B144" s="7" t="s">
        <v>27</v>
      </c>
      <c r="C144" s="7" t="s">
        <v>30</v>
      </c>
      <c r="D144" s="8">
        <v>729505</v>
      </c>
      <c r="E144" s="8">
        <v>308</v>
      </c>
      <c r="F144" s="9">
        <v>7.0000000000000007E-2</v>
      </c>
      <c r="G144" s="7" t="s">
        <v>961</v>
      </c>
    </row>
    <row r="145" spans="1:7" x14ac:dyDescent="0.3">
      <c r="A145" s="7">
        <v>37057</v>
      </c>
      <c r="B145" s="7" t="s">
        <v>467</v>
      </c>
      <c r="C145" s="7" t="s">
        <v>30</v>
      </c>
      <c r="D145" s="8">
        <v>177809</v>
      </c>
      <c r="E145" s="8">
        <v>47</v>
      </c>
      <c r="F145" s="9">
        <v>0.63</v>
      </c>
      <c r="G145" s="7" t="s">
        <v>961</v>
      </c>
    </row>
    <row r="146" spans="1:7" x14ac:dyDescent="0.3">
      <c r="A146" s="7">
        <v>21059</v>
      </c>
      <c r="B146" s="7" t="s">
        <v>41</v>
      </c>
      <c r="C146" s="7" t="s">
        <v>597</v>
      </c>
      <c r="D146" s="8">
        <v>104457</v>
      </c>
      <c r="E146" s="8">
        <v>23</v>
      </c>
      <c r="F146" s="9">
        <v>0.08</v>
      </c>
      <c r="G146" s="7"/>
    </row>
    <row r="147" spans="1:7" x14ac:dyDescent="0.3">
      <c r="A147" s="7">
        <v>49011</v>
      </c>
      <c r="B147" s="7" t="s">
        <v>572</v>
      </c>
      <c r="C147" s="7" t="s">
        <v>735</v>
      </c>
      <c r="D147" s="8">
        <v>378470</v>
      </c>
      <c r="E147" s="8">
        <v>57</v>
      </c>
      <c r="F147" s="9">
        <v>0.13</v>
      </c>
      <c r="G147" s="7" t="s">
        <v>961</v>
      </c>
    </row>
    <row r="148" spans="1:7" x14ac:dyDescent="0.3">
      <c r="A148" s="7">
        <v>13089</v>
      </c>
      <c r="B148" s="7" t="s">
        <v>469</v>
      </c>
      <c r="C148" s="7" t="s">
        <v>707</v>
      </c>
      <c r="D148" s="8">
        <v>770307</v>
      </c>
      <c r="E148" s="8">
        <v>126</v>
      </c>
      <c r="F148" s="9">
        <v>7.0000000000000007E-2</v>
      </c>
      <c r="G148" s="7"/>
    </row>
    <row r="149" spans="1:7" x14ac:dyDescent="0.3">
      <c r="A149" s="7">
        <v>17037</v>
      </c>
      <c r="B149" s="7" t="s">
        <v>262</v>
      </c>
      <c r="C149" s="7" t="s">
        <v>707</v>
      </c>
      <c r="D149" s="8">
        <v>101335</v>
      </c>
      <c r="E149" s="8"/>
      <c r="F149" s="9">
        <v>0</v>
      </c>
      <c r="G149" s="7"/>
    </row>
    <row r="150" spans="1:7" x14ac:dyDescent="0.3">
      <c r="A150" s="7">
        <v>28033</v>
      </c>
      <c r="B150" s="7" t="s">
        <v>257</v>
      </c>
      <c r="C150" s="7" t="s">
        <v>730</v>
      </c>
      <c r="D150" s="8">
        <v>195871</v>
      </c>
      <c r="E150" s="8">
        <v>30</v>
      </c>
      <c r="F150" s="9">
        <v>0</v>
      </c>
      <c r="G150" s="7"/>
    </row>
    <row r="151" spans="1:7" x14ac:dyDescent="0.3">
      <c r="A151" s="7">
        <v>42045</v>
      </c>
      <c r="B151" s="7" t="s">
        <v>19</v>
      </c>
      <c r="C151" s="7" t="s">
        <v>450</v>
      </c>
      <c r="D151" s="8">
        <v>584882</v>
      </c>
      <c r="E151" s="8">
        <v>126</v>
      </c>
      <c r="F151" s="9">
        <v>0.09</v>
      </c>
      <c r="G151" s="7"/>
    </row>
    <row r="152" spans="1:7" x14ac:dyDescent="0.3">
      <c r="A152" s="7">
        <v>39041</v>
      </c>
      <c r="B152" s="7" t="s">
        <v>447</v>
      </c>
      <c r="C152" s="7" t="s">
        <v>450</v>
      </c>
      <c r="D152" s="8">
        <v>237966</v>
      </c>
      <c r="E152" s="8">
        <v>13</v>
      </c>
      <c r="F152" s="9">
        <v>0.06</v>
      </c>
      <c r="G152" s="7"/>
    </row>
    <row r="153" spans="1:7" x14ac:dyDescent="0.3">
      <c r="A153" s="7">
        <v>18035</v>
      </c>
      <c r="B153" s="7" t="s">
        <v>35</v>
      </c>
      <c r="C153" s="7" t="s">
        <v>450</v>
      </c>
      <c r="D153" s="8">
        <v>112951</v>
      </c>
      <c r="E153" s="8">
        <v>38</v>
      </c>
      <c r="F153" s="9">
        <v>7.0000000000000007E-2</v>
      </c>
      <c r="G153" s="7" t="s">
        <v>961</v>
      </c>
    </row>
    <row r="154" spans="1:7" x14ac:dyDescent="0.3">
      <c r="A154" s="7">
        <v>48121</v>
      </c>
      <c r="B154" s="7" t="s">
        <v>604</v>
      </c>
      <c r="C154" s="7" t="s">
        <v>850</v>
      </c>
      <c r="D154" s="8">
        <v>1045120</v>
      </c>
      <c r="E154" s="8">
        <v>105</v>
      </c>
      <c r="F154" s="9">
        <v>0.1</v>
      </c>
      <c r="G154" s="7" t="s">
        <v>961</v>
      </c>
    </row>
    <row r="155" spans="1:7" x14ac:dyDescent="0.3">
      <c r="A155" s="7">
        <v>8031</v>
      </c>
      <c r="B155" s="7" t="s">
        <v>17</v>
      </c>
      <c r="C155" s="7" t="s">
        <v>22</v>
      </c>
      <c r="D155" s="8">
        <v>729019</v>
      </c>
      <c r="E155" s="8">
        <v>370</v>
      </c>
      <c r="F155" s="9">
        <v>0.02</v>
      </c>
      <c r="G155" s="7"/>
    </row>
    <row r="156" spans="1:7" x14ac:dyDescent="0.3">
      <c r="A156" s="7">
        <v>41017</v>
      </c>
      <c r="B156" s="7" t="s">
        <v>21</v>
      </c>
      <c r="C156" s="7" t="s">
        <v>822</v>
      </c>
      <c r="D156" s="8">
        <v>211535</v>
      </c>
      <c r="E156" s="8">
        <v>24</v>
      </c>
      <c r="F156" s="9">
        <v>0.79</v>
      </c>
      <c r="G156" s="7" t="s">
        <v>961</v>
      </c>
    </row>
    <row r="157" spans="1:7" x14ac:dyDescent="0.3">
      <c r="A157" s="7">
        <v>11001</v>
      </c>
      <c r="B157" s="7" t="s">
        <v>36</v>
      </c>
      <c r="C157" s="7" t="s">
        <v>36</v>
      </c>
      <c r="D157" s="8">
        <v>702250</v>
      </c>
      <c r="E157" s="8">
        <v>270</v>
      </c>
      <c r="F157" s="9">
        <v>0.21</v>
      </c>
      <c r="G157" s="7"/>
    </row>
    <row r="158" spans="1:7" x14ac:dyDescent="0.3">
      <c r="A158" s="7">
        <v>45035</v>
      </c>
      <c r="B158" s="7" t="s">
        <v>458</v>
      </c>
      <c r="C158" s="7" t="s">
        <v>600</v>
      </c>
      <c r="D158" s="8">
        <v>174663</v>
      </c>
      <c r="E158" s="8">
        <v>38</v>
      </c>
      <c r="F158" s="9">
        <v>0.2</v>
      </c>
      <c r="G158" s="7"/>
    </row>
    <row r="159" spans="1:7" x14ac:dyDescent="0.3">
      <c r="A159" s="7">
        <v>8035</v>
      </c>
      <c r="B159" s="7" t="s">
        <v>17</v>
      </c>
      <c r="C159" s="7" t="s">
        <v>496</v>
      </c>
      <c r="D159" s="8">
        <v>393995</v>
      </c>
      <c r="E159" s="8">
        <v>58</v>
      </c>
      <c r="F159" s="9">
        <v>0</v>
      </c>
      <c r="G159" s="7"/>
    </row>
    <row r="160" spans="1:7" x14ac:dyDescent="0.3">
      <c r="A160" s="7">
        <v>13097</v>
      </c>
      <c r="B160" s="7" t="s">
        <v>469</v>
      </c>
      <c r="C160" s="7" t="s">
        <v>496</v>
      </c>
      <c r="D160" s="8">
        <v>151887</v>
      </c>
      <c r="E160" s="8">
        <v>27</v>
      </c>
      <c r="F160" s="9">
        <v>0.57999999999999996</v>
      </c>
      <c r="G160" s="7"/>
    </row>
    <row r="161" spans="1:7" x14ac:dyDescent="0.3">
      <c r="A161" s="7">
        <v>41019</v>
      </c>
      <c r="B161" s="7" t="s">
        <v>21</v>
      </c>
      <c r="C161" s="7" t="s">
        <v>496</v>
      </c>
      <c r="D161" s="8">
        <v>112255</v>
      </c>
      <c r="E161" s="8">
        <v>32</v>
      </c>
      <c r="F161" s="9">
        <v>0.35</v>
      </c>
      <c r="G161" s="7" t="s">
        <v>961</v>
      </c>
    </row>
    <row r="162" spans="1:7" x14ac:dyDescent="0.3">
      <c r="A162" s="7">
        <v>31055</v>
      </c>
      <c r="B162" s="7" t="s">
        <v>868</v>
      </c>
      <c r="C162" s="7" t="s">
        <v>496</v>
      </c>
      <c r="D162" s="8">
        <v>601158</v>
      </c>
      <c r="E162" s="8">
        <v>56</v>
      </c>
      <c r="F162" s="9">
        <v>0</v>
      </c>
      <c r="G162" s="7"/>
    </row>
    <row r="163" spans="1:7" x14ac:dyDescent="0.3">
      <c r="A163" s="7">
        <v>20045</v>
      </c>
      <c r="B163" s="7" t="s">
        <v>267</v>
      </c>
      <c r="C163" s="7" t="s">
        <v>496</v>
      </c>
      <c r="D163" s="8">
        <v>121989</v>
      </c>
      <c r="E163" s="8">
        <v>16</v>
      </c>
      <c r="F163" s="9">
        <v>0</v>
      </c>
      <c r="G163" s="7"/>
    </row>
    <row r="164" spans="1:7" x14ac:dyDescent="0.3">
      <c r="A164" s="7">
        <v>35013</v>
      </c>
      <c r="B164" s="7" t="s">
        <v>29</v>
      </c>
      <c r="C164" s="7" t="s">
        <v>499</v>
      </c>
      <c r="D164" s="8">
        <v>229366</v>
      </c>
      <c r="E164" s="8">
        <v>65</v>
      </c>
      <c r="F164" s="9">
        <v>0</v>
      </c>
      <c r="G164" s="7" t="s">
        <v>961</v>
      </c>
    </row>
    <row r="165" spans="1:7" x14ac:dyDescent="0.3">
      <c r="A165" s="7">
        <v>17043</v>
      </c>
      <c r="B165" s="7" t="s">
        <v>262</v>
      </c>
      <c r="C165" s="7" t="s">
        <v>886</v>
      </c>
      <c r="D165" s="8">
        <v>937142</v>
      </c>
      <c r="E165" s="8">
        <v>75</v>
      </c>
      <c r="F165" s="9">
        <v>0.1</v>
      </c>
      <c r="G165" s="7"/>
    </row>
    <row r="166" spans="1:7" x14ac:dyDescent="0.3">
      <c r="A166" s="7">
        <v>37063</v>
      </c>
      <c r="B166" s="7" t="s">
        <v>467</v>
      </c>
      <c r="C166" s="7" t="s">
        <v>710</v>
      </c>
      <c r="D166" s="8">
        <v>343628</v>
      </c>
      <c r="E166" s="8">
        <v>56</v>
      </c>
      <c r="F166" s="9">
        <v>2.14</v>
      </c>
      <c r="G166" s="7" t="s">
        <v>961</v>
      </c>
    </row>
    <row r="167" spans="1:7" x14ac:dyDescent="0.3">
      <c r="A167" s="7">
        <v>36027</v>
      </c>
      <c r="B167" s="7" t="s">
        <v>32</v>
      </c>
      <c r="C167" s="7" t="s">
        <v>566</v>
      </c>
      <c r="D167" s="8">
        <v>299963</v>
      </c>
      <c r="E167" s="8">
        <v>70</v>
      </c>
      <c r="F167" s="9">
        <v>1.02</v>
      </c>
      <c r="G167" s="7" t="s">
        <v>961</v>
      </c>
    </row>
    <row r="168" spans="1:7" x14ac:dyDescent="0.3">
      <c r="A168" s="7">
        <v>12031</v>
      </c>
      <c r="B168" s="7" t="s">
        <v>50</v>
      </c>
      <c r="C168" s="7" t="s">
        <v>559</v>
      </c>
      <c r="D168" s="8">
        <v>1055159</v>
      </c>
      <c r="E168" s="8">
        <v>250</v>
      </c>
      <c r="F168" s="9">
        <v>0.03</v>
      </c>
      <c r="G168" s="7"/>
    </row>
    <row r="169" spans="1:7" x14ac:dyDescent="0.3">
      <c r="A169" s="7">
        <v>22033</v>
      </c>
      <c r="B169" s="7" t="s">
        <v>24</v>
      </c>
      <c r="C169" s="7" t="s">
        <v>534</v>
      </c>
      <c r="D169" s="8">
        <v>453022</v>
      </c>
      <c r="E169" s="8">
        <v>116</v>
      </c>
      <c r="F169" s="9">
        <v>7.0000000000000007E-2</v>
      </c>
      <c r="G169" s="7"/>
    </row>
    <row r="170" spans="1:7" x14ac:dyDescent="0.3">
      <c r="A170" s="7">
        <v>26045</v>
      </c>
      <c r="B170" s="7" t="s">
        <v>480</v>
      </c>
      <c r="C170" s="7" t="s">
        <v>748</v>
      </c>
      <c r="D170" s="8">
        <v>109494</v>
      </c>
      <c r="E170" s="8">
        <v>16</v>
      </c>
      <c r="F170" s="9">
        <v>0</v>
      </c>
      <c r="G170" s="7" t="s">
        <v>961</v>
      </c>
    </row>
    <row r="171" spans="1:7" x14ac:dyDescent="0.3">
      <c r="A171" s="7">
        <v>55035</v>
      </c>
      <c r="B171" s="7" t="s">
        <v>38</v>
      </c>
      <c r="C171" s="7" t="s">
        <v>830</v>
      </c>
      <c r="D171" s="8">
        <v>108830</v>
      </c>
      <c r="E171" s="8">
        <v>12</v>
      </c>
      <c r="F171" s="9">
        <v>0.31</v>
      </c>
      <c r="G171" s="7"/>
    </row>
    <row r="172" spans="1:7" x14ac:dyDescent="0.3">
      <c r="A172" s="7">
        <v>48135</v>
      </c>
      <c r="B172" s="7" t="s">
        <v>604</v>
      </c>
      <c r="C172" s="7" t="s">
        <v>688</v>
      </c>
      <c r="D172" s="8">
        <v>170022</v>
      </c>
      <c r="E172" s="8">
        <v>29</v>
      </c>
      <c r="F172" s="9">
        <v>0.08</v>
      </c>
      <c r="G172" s="7"/>
    </row>
    <row r="173" spans="1:7" x14ac:dyDescent="0.3">
      <c r="A173" s="7">
        <v>6017</v>
      </c>
      <c r="B173" s="7" t="s">
        <v>15</v>
      </c>
      <c r="C173" s="7" t="s">
        <v>650</v>
      </c>
      <c r="D173" s="8">
        <v>192823</v>
      </c>
      <c r="E173" s="8">
        <v>37</v>
      </c>
      <c r="F173" s="9">
        <v>0.11</v>
      </c>
      <c r="G173" s="7" t="s">
        <v>961</v>
      </c>
    </row>
    <row r="174" spans="1:7" x14ac:dyDescent="0.3">
      <c r="A174" s="7">
        <v>8041</v>
      </c>
      <c r="B174" s="7" t="s">
        <v>17</v>
      </c>
      <c r="C174" s="7" t="s">
        <v>16</v>
      </c>
      <c r="D174" s="8">
        <v>752772</v>
      </c>
      <c r="E174" s="8">
        <v>417</v>
      </c>
      <c r="F174" s="9">
        <v>0.03</v>
      </c>
      <c r="G174" s="7"/>
    </row>
    <row r="175" spans="1:7" x14ac:dyDescent="0.3">
      <c r="A175" s="7">
        <v>48141</v>
      </c>
      <c r="B175" s="7" t="s">
        <v>604</v>
      </c>
      <c r="C175" s="7" t="s">
        <v>16</v>
      </c>
      <c r="D175" s="8">
        <v>875784</v>
      </c>
      <c r="E175" s="8">
        <v>113</v>
      </c>
      <c r="F175" s="9">
        <v>0.05</v>
      </c>
      <c r="G175" s="7" t="s">
        <v>961</v>
      </c>
    </row>
    <row r="176" spans="1:7" x14ac:dyDescent="0.3">
      <c r="A176" s="7">
        <v>18039</v>
      </c>
      <c r="B176" s="7" t="s">
        <v>35</v>
      </c>
      <c r="C176" s="7" t="s">
        <v>859</v>
      </c>
      <c r="D176" s="8">
        <v>207436</v>
      </c>
      <c r="E176" s="8">
        <v>20</v>
      </c>
      <c r="F176" s="9">
        <v>0</v>
      </c>
      <c r="G176" s="7"/>
    </row>
    <row r="177" spans="1:7" x14ac:dyDescent="0.3">
      <c r="A177" s="7">
        <v>48139</v>
      </c>
      <c r="B177" s="7" t="s">
        <v>604</v>
      </c>
      <c r="C177" s="7" t="s">
        <v>865</v>
      </c>
      <c r="D177" s="8">
        <v>232387</v>
      </c>
      <c r="E177" s="8">
        <v>22</v>
      </c>
      <c r="F177" s="9">
        <v>0.06</v>
      </c>
      <c r="G177" s="7" t="s">
        <v>961</v>
      </c>
    </row>
    <row r="178" spans="1:7" x14ac:dyDescent="0.3">
      <c r="A178" s="7">
        <v>42049</v>
      </c>
      <c r="B178" s="7" t="s">
        <v>19</v>
      </c>
      <c r="C178" s="7" t="s">
        <v>581</v>
      </c>
      <c r="D178" s="8">
        <v>267750</v>
      </c>
      <c r="E178" s="8">
        <v>40</v>
      </c>
      <c r="F178" s="9">
        <v>0.03</v>
      </c>
      <c r="G178" s="7"/>
    </row>
    <row r="179" spans="1:7" x14ac:dyDescent="0.3">
      <c r="A179" s="7">
        <v>36029</v>
      </c>
      <c r="B179" s="7" t="s">
        <v>32</v>
      </c>
      <c r="C179" s="7" t="s">
        <v>581</v>
      </c>
      <c r="D179" s="8">
        <v>950602</v>
      </c>
      <c r="E179" s="8">
        <v>215</v>
      </c>
      <c r="F179" s="9">
        <v>0.12</v>
      </c>
      <c r="G179" s="7" t="s">
        <v>961</v>
      </c>
    </row>
    <row r="180" spans="1:7" x14ac:dyDescent="0.3">
      <c r="A180" s="7">
        <v>12033</v>
      </c>
      <c r="B180" s="7" t="s">
        <v>50</v>
      </c>
      <c r="C180" s="7" t="s">
        <v>49</v>
      </c>
      <c r="D180" s="8">
        <v>331275</v>
      </c>
      <c r="E180" s="8">
        <v>114</v>
      </c>
      <c r="F180" s="9">
        <v>0.7</v>
      </c>
      <c r="G180" s="7" t="s">
        <v>961</v>
      </c>
    </row>
    <row r="181" spans="1:7" x14ac:dyDescent="0.3">
      <c r="A181" s="7">
        <v>25009</v>
      </c>
      <c r="B181" s="7" t="s">
        <v>453</v>
      </c>
      <c r="C181" s="7" t="s">
        <v>557</v>
      </c>
      <c r="D181" s="8">
        <v>823938</v>
      </c>
      <c r="E181" s="8">
        <v>169</v>
      </c>
      <c r="F181" s="9">
        <v>0.08</v>
      </c>
      <c r="G181" s="7"/>
    </row>
    <row r="182" spans="1:7" x14ac:dyDescent="0.3">
      <c r="A182" s="7">
        <v>34013</v>
      </c>
      <c r="B182" s="7" t="s">
        <v>237</v>
      </c>
      <c r="C182" s="7" t="s">
        <v>557</v>
      </c>
      <c r="D182" s="8">
        <v>881527</v>
      </c>
      <c r="E182" s="8">
        <v>210</v>
      </c>
      <c r="F182" s="9">
        <v>1.22</v>
      </c>
      <c r="G182" s="7" t="s">
        <v>961</v>
      </c>
    </row>
    <row r="183" spans="1:7" x14ac:dyDescent="0.3">
      <c r="A183" s="7">
        <v>1055</v>
      </c>
      <c r="B183" s="7" t="s">
        <v>463</v>
      </c>
      <c r="C183" s="7" t="s">
        <v>528</v>
      </c>
      <c r="D183" s="8">
        <v>103207</v>
      </c>
      <c r="E183" s="8">
        <v>27</v>
      </c>
      <c r="F183" s="9">
        <v>0.13</v>
      </c>
      <c r="G183" s="7" t="s">
        <v>961</v>
      </c>
    </row>
    <row r="184" spans="1:7" x14ac:dyDescent="0.3">
      <c r="A184" s="7">
        <v>51059</v>
      </c>
      <c r="B184" s="7" t="s">
        <v>239</v>
      </c>
      <c r="C184" s="7" t="s">
        <v>875</v>
      </c>
      <c r="D184" s="8">
        <v>1160925</v>
      </c>
      <c r="E184" s="8">
        <v>103</v>
      </c>
      <c r="F184" s="9">
        <v>0.08</v>
      </c>
      <c r="G184" s="7" t="s">
        <v>961</v>
      </c>
    </row>
    <row r="185" spans="1:7" x14ac:dyDescent="0.3">
      <c r="A185" s="7">
        <v>39045</v>
      </c>
      <c r="B185" s="7" t="s">
        <v>447</v>
      </c>
      <c r="C185" s="7" t="s">
        <v>596</v>
      </c>
      <c r="D185" s="8">
        <v>167762</v>
      </c>
      <c r="E185" s="8">
        <v>37</v>
      </c>
      <c r="F185" s="9">
        <v>0</v>
      </c>
      <c r="G185" s="7"/>
    </row>
    <row r="186" spans="1:7" x14ac:dyDescent="0.3">
      <c r="A186" s="7">
        <v>5045</v>
      </c>
      <c r="B186" s="7" t="s">
        <v>588</v>
      </c>
      <c r="C186" s="7" t="s">
        <v>911</v>
      </c>
      <c r="D186" s="8">
        <v>131611</v>
      </c>
      <c r="E186" s="8"/>
      <c r="F186" s="9">
        <v>0</v>
      </c>
      <c r="G186" s="7" t="s">
        <v>961</v>
      </c>
    </row>
    <row r="187" spans="1:7" x14ac:dyDescent="0.3">
      <c r="A187" s="7">
        <v>42051</v>
      </c>
      <c r="B187" s="7" t="s">
        <v>19</v>
      </c>
      <c r="C187" s="7" t="s">
        <v>509</v>
      </c>
      <c r="D187" s="8">
        <v>123941</v>
      </c>
      <c r="E187" s="8">
        <v>34</v>
      </c>
      <c r="F187" s="9">
        <v>0.27</v>
      </c>
      <c r="G187" s="7" t="s">
        <v>961</v>
      </c>
    </row>
    <row r="188" spans="1:7" x14ac:dyDescent="0.3">
      <c r="A188" s="7">
        <v>21067</v>
      </c>
      <c r="B188" s="7" t="s">
        <v>41</v>
      </c>
      <c r="C188" s="7" t="s">
        <v>509</v>
      </c>
      <c r="D188" s="8">
        <v>329437</v>
      </c>
      <c r="E188" s="8">
        <v>78</v>
      </c>
      <c r="F188" s="9">
        <v>0.04</v>
      </c>
      <c r="G188" s="7"/>
    </row>
    <row r="189" spans="1:7" x14ac:dyDescent="0.3">
      <c r="A189" s="7">
        <v>13113</v>
      </c>
      <c r="B189" s="7" t="s">
        <v>469</v>
      </c>
      <c r="C189" s="7" t="s">
        <v>509</v>
      </c>
      <c r="D189" s="8">
        <v>125107</v>
      </c>
      <c r="E189" s="8"/>
      <c r="F189" s="9">
        <v>0.09</v>
      </c>
      <c r="G189" s="7"/>
    </row>
    <row r="190" spans="1:7" x14ac:dyDescent="0.3">
      <c r="A190" s="7">
        <v>12035</v>
      </c>
      <c r="B190" s="7" t="s">
        <v>50</v>
      </c>
      <c r="C190" s="7" t="s">
        <v>746</v>
      </c>
      <c r="D190" s="8">
        <v>136744</v>
      </c>
      <c r="E190" s="8">
        <v>20</v>
      </c>
      <c r="F190" s="9">
        <v>0</v>
      </c>
      <c r="G190" s="7"/>
    </row>
    <row r="191" spans="1:7" x14ac:dyDescent="0.3">
      <c r="A191" s="7">
        <v>30029</v>
      </c>
      <c r="B191" s="7" t="s">
        <v>623</v>
      </c>
      <c r="C191" s="7" t="s">
        <v>649</v>
      </c>
      <c r="D191" s="8">
        <v>114527</v>
      </c>
      <c r="E191" s="8">
        <v>22</v>
      </c>
      <c r="F191" s="9">
        <v>0</v>
      </c>
      <c r="G191" s="7"/>
    </row>
    <row r="192" spans="1:7" x14ac:dyDescent="0.3">
      <c r="A192" s="7">
        <v>45041</v>
      </c>
      <c r="B192" s="7" t="s">
        <v>458</v>
      </c>
      <c r="C192" s="7" t="s">
        <v>568</v>
      </c>
      <c r="D192" s="8">
        <v>138049</v>
      </c>
      <c r="E192" s="8">
        <v>32</v>
      </c>
      <c r="F192" s="9">
        <v>0.06</v>
      </c>
      <c r="G192" s="7" t="s">
        <v>961</v>
      </c>
    </row>
    <row r="193" spans="1:7" x14ac:dyDescent="0.3">
      <c r="A193" s="7">
        <v>13115</v>
      </c>
      <c r="B193" s="7" t="s">
        <v>469</v>
      </c>
      <c r="C193" s="7" t="s">
        <v>657</v>
      </c>
      <c r="D193" s="8">
        <v>101390</v>
      </c>
      <c r="E193" s="8">
        <v>19</v>
      </c>
      <c r="F193" s="9">
        <v>0.16</v>
      </c>
      <c r="G193" s="7" t="s">
        <v>961</v>
      </c>
    </row>
    <row r="194" spans="1:7" x14ac:dyDescent="0.3">
      <c r="A194" s="7">
        <v>55039</v>
      </c>
      <c r="B194" s="7" t="s">
        <v>38</v>
      </c>
      <c r="C194" s="7" t="s">
        <v>842</v>
      </c>
      <c r="D194" s="8">
        <v>104269</v>
      </c>
      <c r="E194" s="8">
        <v>11</v>
      </c>
      <c r="F194" s="9">
        <v>0.19</v>
      </c>
      <c r="G194" s="7"/>
    </row>
    <row r="195" spans="1:7" x14ac:dyDescent="0.3">
      <c r="A195" s="7">
        <v>13117</v>
      </c>
      <c r="B195" s="7" t="s">
        <v>469</v>
      </c>
      <c r="C195" s="7" t="s">
        <v>593</v>
      </c>
      <c r="D195" s="8">
        <v>280096</v>
      </c>
      <c r="E195" s="8">
        <v>26</v>
      </c>
      <c r="F195" s="9">
        <v>0.3</v>
      </c>
      <c r="G195" s="7" t="s">
        <v>961</v>
      </c>
    </row>
    <row r="196" spans="1:7" x14ac:dyDescent="0.3">
      <c r="A196" s="7">
        <v>37067</v>
      </c>
      <c r="B196" s="7" t="s">
        <v>467</v>
      </c>
      <c r="C196" s="7" t="s">
        <v>593</v>
      </c>
      <c r="D196" s="8">
        <v>398143</v>
      </c>
      <c r="E196" s="8">
        <v>88</v>
      </c>
      <c r="F196" s="9">
        <v>0.23</v>
      </c>
      <c r="G196" s="7" t="s">
        <v>961</v>
      </c>
    </row>
    <row r="197" spans="1:7" x14ac:dyDescent="0.3">
      <c r="A197" s="7">
        <v>48157</v>
      </c>
      <c r="B197" s="7" t="s">
        <v>604</v>
      </c>
      <c r="C197" s="7" t="s">
        <v>900</v>
      </c>
      <c r="D197" s="8">
        <v>958434</v>
      </c>
      <c r="E197" s="8">
        <v>43</v>
      </c>
      <c r="F197" s="9">
        <v>0.1</v>
      </c>
      <c r="G197" s="7" t="s">
        <v>961</v>
      </c>
    </row>
    <row r="198" spans="1:7" x14ac:dyDescent="0.3">
      <c r="A198" s="10">
        <v>53021</v>
      </c>
      <c r="B198" s="10" t="s">
        <v>13</v>
      </c>
      <c r="C198" s="10" t="s">
        <v>504</v>
      </c>
      <c r="D198" s="11">
        <v>101238</v>
      </c>
      <c r="E198" s="11">
        <v>28</v>
      </c>
      <c r="F198" s="12">
        <v>0.18</v>
      </c>
      <c r="G198" s="10"/>
    </row>
    <row r="199" spans="1:7" x14ac:dyDescent="0.3">
      <c r="A199" s="7">
        <v>29071</v>
      </c>
      <c r="B199" s="7" t="s">
        <v>230</v>
      </c>
      <c r="C199" s="7" t="s">
        <v>504</v>
      </c>
      <c r="D199" s="8">
        <v>107256</v>
      </c>
      <c r="E199" s="8">
        <v>29</v>
      </c>
      <c r="F199" s="9">
        <v>0</v>
      </c>
      <c r="G199" s="7" t="s">
        <v>961</v>
      </c>
    </row>
    <row r="200" spans="1:7" x14ac:dyDescent="0.3">
      <c r="A200" s="7">
        <v>42055</v>
      </c>
      <c r="B200" s="7" t="s">
        <v>19</v>
      </c>
      <c r="C200" s="7" t="s">
        <v>504</v>
      </c>
      <c r="D200" s="8">
        <v>159285</v>
      </c>
      <c r="E200" s="8">
        <v>17</v>
      </c>
      <c r="F200" s="9">
        <v>0.11</v>
      </c>
      <c r="G200" s="7" t="s">
        <v>961</v>
      </c>
    </row>
    <row r="201" spans="1:7" x14ac:dyDescent="0.3">
      <c r="A201" s="7">
        <v>39049</v>
      </c>
      <c r="B201" s="7" t="s">
        <v>447</v>
      </c>
      <c r="C201" s="7" t="s">
        <v>504</v>
      </c>
      <c r="D201" s="8">
        <v>1356303</v>
      </c>
      <c r="E201" s="8">
        <v>348</v>
      </c>
      <c r="F201" s="9">
        <v>0.08</v>
      </c>
      <c r="G201" s="7"/>
    </row>
    <row r="202" spans="1:7" x14ac:dyDescent="0.3">
      <c r="A202" s="7">
        <v>24021</v>
      </c>
      <c r="B202" s="7" t="s">
        <v>11</v>
      </c>
      <c r="C202" s="7" t="s">
        <v>893</v>
      </c>
      <c r="D202" s="8">
        <v>299317</v>
      </c>
      <c r="E202" s="8">
        <v>19</v>
      </c>
      <c r="F202" s="9">
        <v>0.05</v>
      </c>
      <c r="G202" s="7"/>
    </row>
    <row r="203" spans="1:7" x14ac:dyDescent="0.3">
      <c r="A203" s="7">
        <v>6019</v>
      </c>
      <c r="B203" s="7" t="s">
        <v>15</v>
      </c>
      <c r="C203" s="7" t="s">
        <v>638</v>
      </c>
      <c r="D203" s="8">
        <v>1024125</v>
      </c>
      <c r="E203" s="8">
        <v>202</v>
      </c>
      <c r="F203" s="9">
        <v>0.13</v>
      </c>
      <c r="G203" s="7" t="s">
        <v>961</v>
      </c>
    </row>
    <row r="204" spans="1:7" x14ac:dyDescent="0.3">
      <c r="A204" s="7">
        <v>13121</v>
      </c>
      <c r="B204" s="7" t="s">
        <v>469</v>
      </c>
      <c r="C204" s="7" t="s">
        <v>618</v>
      </c>
      <c r="D204" s="8">
        <v>1090354</v>
      </c>
      <c r="E204" s="8">
        <v>225</v>
      </c>
      <c r="F204" s="9">
        <v>0.01</v>
      </c>
      <c r="G204" s="7" t="s">
        <v>961</v>
      </c>
    </row>
    <row r="205" spans="1:7" x14ac:dyDescent="0.3">
      <c r="A205" s="7">
        <v>30031</v>
      </c>
      <c r="B205" s="7" t="s">
        <v>623</v>
      </c>
      <c r="C205" s="7" t="s">
        <v>880</v>
      </c>
      <c r="D205" s="8">
        <v>126984</v>
      </c>
      <c r="E205" s="8">
        <v>11</v>
      </c>
      <c r="F205" s="9">
        <v>0</v>
      </c>
      <c r="G205" s="7" t="s">
        <v>961</v>
      </c>
    </row>
    <row r="206" spans="1:7" x14ac:dyDescent="0.3">
      <c r="A206" s="7">
        <v>48167</v>
      </c>
      <c r="B206" s="7" t="s">
        <v>604</v>
      </c>
      <c r="C206" s="7" t="s">
        <v>715</v>
      </c>
      <c r="D206" s="8">
        <v>367407</v>
      </c>
      <c r="E206" s="8">
        <v>59</v>
      </c>
      <c r="F206" s="9">
        <v>0.09</v>
      </c>
      <c r="G206" s="7" t="s">
        <v>961</v>
      </c>
    </row>
    <row r="207" spans="1:7" x14ac:dyDescent="0.3">
      <c r="A207" s="7">
        <v>37071</v>
      </c>
      <c r="B207" s="7" t="s">
        <v>467</v>
      </c>
      <c r="C207" s="7" t="s">
        <v>476</v>
      </c>
      <c r="D207" s="8">
        <v>242010</v>
      </c>
      <c r="E207" s="8">
        <v>76</v>
      </c>
      <c r="F207" s="9">
        <v>1.04</v>
      </c>
      <c r="G207" s="7" t="s">
        <v>961</v>
      </c>
    </row>
    <row r="208" spans="1:7" x14ac:dyDescent="0.3">
      <c r="A208" s="7">
        <v>26049</v>
      </c>
      <c r="B208" s="7" t="s">
        <v>480</v>
      </c>
      <c r="C208" s="7" t="s">
        <v>479</v>
      </c>
      <c r="D208" s="8">
        <v>402279</v>
      </c>
      <c r="E208" s="8">
        <v>124</v>
      </c>
      <c r="F208" s="9">
        <v>0.88</v>
      </c>
      <c r="G208" s="7" t="s">
        <v>961</v>
      </c>
    </row>
    <row r="209" spans="1:7" x14ac:dyDescent="0.3">
      <c r="A209" s="7">
        <v>34015</v>
      </c>
      <c r="B209" s="7" t="s">
        <v>237</v>
      </c>
      <c r="C209" s="7" t="s">
        <v>673</v>
      </c>
      <c r="D209" s="8">
        <v>311783</v>
      </c>
      <c r="E209" s="8">
        <v>56</v>
      </c>
      <c r="F209" s="9">
        <v>0.03</v>
      </c>
      <c r="G209" s="7"/>
    </row>
    <row r="210" spans="1:7" x14ac:dyDescent="0.3">
      <c r="A210" s="10">
        <v>53025</v>
      </c>
      <c r="B210" s="10" t="s">
        <v>13</v>
      </c>
      <c r="C210" s="10" t="s">
        <v>268</v>
      </c>
      <c r="D210" s="11">
        <v>104717</v>
      </c>
      <c r="E210" s="11">
        <v>37</v>
      </c>
      <c r="F210" s="12">
        <v>0</v>
      </c>
      <c r="G210" s="10" t="s">
        <v>961</v>
      </c>
    </row>
    <row r="211" spans="1:7" x14ac:dyDescent="0.3">
      <c r="A211" s="7">
        <v>48181</v>
      </c>
      <c r="B211" s="7" t="s">
        <v>604</v>
      </c>
      <c r="C211" s="7" t="s">
        <v>699</v>
      </c>
      <c r="D211" s="8">
        <v>150532</v>
      </c>
      <c r="E211" s="8">
        <v>25</v>
      </c>
      <c r="F211" s="9">
        <v>0</v>
      </c>
      <c r="G211" s="7" t="s">
        <v>961</v>
      </c>
    </row>
    <row r="212" spans="1:7" x14ac:dyDescent="0.3">
      <c r="A212" s="7">
        <v>9120</v>
      </c>
      <c r="B212" s="7" t="s">
        <v>907</v>
      </c>
      <c r="C212" s="7" t="s">
        <v>962</v>
      </c>
      <c r="D212" s="8">
        <v>335666</v>
      </c>
      <c r="E212" s="8"/>
      <c r="F212" s="9"/>
      <c r="G212" s="7"/>
    </row>
    <row r="213" spans="1:7" x14ac:dyDescent="0.3">
      <c r="A213" s="7">
        <v>29077</v>
      </c>
      <c r="B213" s="7" t="s">
        <v>230</v>
      </c>
      <c r="C213" s="7" t="s">
        <v>624</v>
      </c>
      <c r="D213" s="8">
        <v>307942</v>
      </c>
      <c r="E213" s="8">
        <v>60</v>
      </c>
      <c r="F213" s="9">
        <v>0</v>
      </c>
      <c r="G213" s="7" t="s">
        <v>961</v>
      </c>
    </row>
    <row r="214" spans="1:7" x14ac:dyDescent="0.3">
      <c r="A214" s="7">
        <v>39057</v>
      </c>
      <c r="B214" s="7" t="s">
        <v>447</v>
      </c>
      <c r="C214" s="7" t="s">
        <v>624</v>
      </c>
      <c r="D214" s="8">
        <v>172347</v>
      </c>
      <c r="E214" s="8">
        <v>35</v>
      </c>
      <c r="F214" s="9">
        <v>0</v>
      </c>
      <c r="G214" s="7"/>
    </row>
    <row r="215" spans="1:7" x14ac:dyDescent="0.3">
      <c r="A215" s="7">
        <v>45045</v>
      </c>
      <c r="B215" s="7" t="s">
        <v>458</v>
      </c>
      <c r="C215" s="7" t="s">
        <v>643</v>
      </c>
      <c r="D215" s="8">
        <v>570745</v>
      </c>
      <c r="E215" s="8">
        <v>111</v>
      </c>
      <c r="F215" s="9">
        <v>0</v>
      </c>
      <c r="G215" s="7"/>
    </row>
    <row r="216" spans="1:7" x14ac:dyDescent="0.3">
      <c r="A216" s="7">
        <v>48183</v>
      </c>
      <c r="B216" s="7" t="s">
        <v>604</v>
      </c>
      <c r="C216" s="7" t="s">
        <v>912</v>
      </c>
      <c r="D216" s="8">
        <v>126679</v>
      </c>
      <c r="E216" s="8"/>
      <c r="F216" s="9">
        <v>7.0000000000000007E-2</v>
      </c>
      <c r="G216" s="7"/>
    </row>
    <row r="217" spans="1:7" x14ac:dyDescent="0.3">
      <c r="A217" s="7">
        <v>48187</v>
      </c>
      <c r="B217" s="7" t="s">
        <v>604</v>
      </c>
      <c r="C217" s="7" t="s">
        <v>879</v>
      </c>
      <c r="D217" s="8">
        <v>195166</v>
      </c>
      <c r="E217" s="8">
        <v>17</v>
      </c>
      <c r="F217" s="9">
        <v>0.13</v>
      </c>
      <c r="G217" s="7" t="s">
        <v>961</v>
      </c>
    </row>
    <row r="218" spans="1:7" x14ac:dyDescent="0.3">
      <c r="A218" s="7">
        <v>37081</v>
      </c>
      <c r="B218" s="7" t="s">
        <v>467</v>
      </c>
      <c r="C218" s="7" t="s">
        <v>722</v>
      </c>
      <c r="D218" s="8">
        <v>558816</v>
      </c>
      <c r="E218" s="8">
        <v>88</v>
      </c>
      <c r="F218" s="9">
        <v>1.97</v>
      </c>
      <c r="G218" s="7" t="s">
        <v>961</v>
      </c>
    </row>
    <row r="219" spans="1:7" x14ac:dyDescent="0.3">
      <c r="A219" s="7">
        <v>13135</v>
      </c>
      <c r="B219" s="7" t="s">
        <v>469</v>
      </c>
      <c r="C219" s="7" t="s">
        <v>829</v>
      </c>
      <c r="D219" s="8">
        <v>1003869</v>
      </c>
      <c r="E219" s="8">
        <v>112</v>
      </c>
      <c r="F219" s="9">
        <v>7.0000000000000007E-2</v>
      </c>
      <c r="G219" s="7" t="s">
        <v>961</v>
      </c>
    </row>
    <row r="220" spans="1:7" x14ac:dyDescent="0.3">
      <c r="A220" s="7">
        <v>13139</v>
      </c>
      <c r="B220" s="7" t="s">
        <v>469</v>
      </c>
      <c r="C220" s="7" t="s">
        <v>756</v>
      </c>
      <c r="D220" s="8">
        <v>221745</v>
      </c>
      <c r="E220" s="8">
        <v>32</v>
      </c>
      <c r="F220" s="9">
        <v>0.1</v>
      </c>
      <c r="G220" s="7"/>
    </row>
    <row r="221" spans="1:7" x14ac:dyDescent="0.3">
      <c r="A221" s="7">
        <v>39061</v>
      </c>
      <c r="B221" s="7" t="s">
        <v>447</v>
      </c>
      <c r="C221" s="7" t="s">
        <v>470</v>
      </c>
      <c r="D221" s="8">
        <v>837359</v>
      </c>
      <c r="E221" s="8">
        <v>151</v>
      </c>
      <c r="F221" s="9">
        <v>0.05</v>
      </c>
      <c r="G221" s="7"/>
    </row>
    <row r="222" spans="1:7" x14ac:dyDescent="0.3">
      <c r="A222" s="7">
        <v>18057</v>
      </c>
      <c r="B222" s="7" t="s">
        <v>35</v>
      </c>
      <c r="C222" s="7" t="s">
        <v>470</v>
      </c>
      <c r="D222" s="8">
        <v>379704</v>
      </c>
      <c r="E222" s="8">
        <v>32</v>
      </c>
      <c r="F222" s="9">
        <v>0</v>
      </c>
      <c r="G222" s="7" t="s">
        <v>961</v>
      </c>
    </row>
    <row r="223" spans="1:7" x14ac:dyDescent="0.3">
      <c r="A223" s="7">
        <v>47065</v>
      </c>
      <c r="B223" s="7" t="s">
        <v>27</v>
      </c>
      <c r="C223" s="7" t="s">
        <v>470</v>
      </c>
      <c r="D223" s="8">
        <v>386256</v>
      </c>
      <c r="E223" s="8">
        <v>123</v>
      </c>
      <c r="F223" s="9">
        <v>0.02</v>
      </c>
      <c r="G223" s="7"/>
    </row>
    <row r="224" spans="1:7" x14ac:dyDescent="0.3">
      <c r="A224" s="7">
        <v>25013</v>
      </c>
      <c r="B224" s="7" t="s">
        <v>453</v>
      </c>
      <c r="C224" s="7" t="s">
        <v>493</v>
      </c>
      <c r="D224" s="8">
        <v>464151</v>
      </c>
      <c r="E224" s="8">
        <v>136</v>
      </c>
      <c r="F224" s="9">
        <v>0.04</v>
      </c>
      <c r="G224" s="7"/>
    </row>
    <row r="225" spans="1:7" x14ac:dyDescent="0.3">
      <c r="A225" s="7">
        <v>25015</v>
      </c>
      <c r="B225" s="7" t="s">
        <v>453</v>
      </c>
      <c r="C225" s="7" t="s">
        <v>812</v>
      </c>
      <c r="D225" s="8">
        <v>165399</v>
      </c>
      <c r="E225" s="8">
        <v>20</v>
      </c>
      <c r="F225" s="9">
        <v>7.0000000000000007E-2</v>
      </c>
      <c r="G225" s="7"/>
    </row>
    <row r="226" spans="1:7" x14ac:dyDescent="0.3">
      <c r="A226" s="7">
        <v>51650</v>
      </c>
      <c r="B226" s="7" t="s">
        <v>239</v>
      </c>
      <c r="C226" s="7" t="s">
        <v>752</v>
      </c>
      <c r="D226" s="8">
        <v>137596</v>
      </c>
      <c r="E226" s="8">
        <v>20</v>
      </c>
      <c r="F226" s="9">
        <v>0.14000000000000001</v>
      </c>
      <c r="G226" s="7" t="s">
        <v>961</v>
      </c>
    </row>
    <row r="227" spans="1:7" x14ac:dyDescent="0.3">
      <c r="A227" s="7">
        <v>51085</v>
      </c>
      <c r="B227" s="7" t="s">
        <v>239</v>
      </c>
      <c r="C227" s="7" t="s">
        <v>963</v>
      </c>
      <c r="D227" s="8">
        <v>115309</v>
      </c>
      <c r="E227" s="8"/>
      <c r="F227" s="9">
        <v>0.09</v>
      </c>
      <c r="G227" s="7"/>
    </row>
    <row r="228" spans="1:7" x14ac:dyDescent="0.3">
      <c r="A228" s="7">
        <v>21093</v>
      </c>
      <c r="B228" s="7" t="s">
        <v>41</v>
      </c>
      <c r="C228" s="7" t="s">
        <v>506</v>
      </c>
      <c r="D228" s="8">
        <v>112826</v>
      </c>
      <c r="E228" s="8">
        <v>31</v>
      </c>
      <c r="F228" s="9">
        <v>0</v>
      </c>
      <c r="G228" s="7"/>
    </row>
    <row r="229" spans="1:7" x14ac:dyDescent="0.3">
      <c r="A229" s="7">
        <v>24025</v>
      </c>
      <c r="B229" s="7" t="s">
        <v>11</v>
      </c>
      <c r="C229" s="7" t="s">
        <v>745</v>
      </c>
      <c r="D229" s="8">
        <v>265514</v>
      </c>
      <c r="E229" s="8">
        <v>39</v>
      </c>
      <c r="F229" s="9">
        <v>0.08</v>
      </c>
      <c r="G229" s="7" t="s">
        <v>961</v>
      </c>
    </row>
    <row r="230" spans="1:7" x14ac:dyDescent="0.3">
      <c r="A230" s="7">
        <v>37085</v>
      </c>
      <c r="B230" s="7" t="s">
        <v>467</v>
      </c>
      <c r="C230" s="7" t="s">
        <v>675</v>
      </c>
      <c r="D230" s="8">
        <v>146096</v>
      </c>
      <c r="E230" s="8">
        <v>26</v>
      </c>
      <c r="F230" s="9">
        <v>1.03</v>
      </c>
      <c r="G230" s="7" t="s">
        <v>961</v>
      </c>
    </row>
    <row r="231" spans="1:7" x14ac:dyDescent="0.3">
      <c r="A231" s="7">
        <v>48201</v>
      </c>
      <c r="B231" s="7" t="s">
        <v>604</v>
      </c>
      <c r="C231" s="7" t="s">
        <v>738</v>
      </c>
      <c r="D231" s="8">
        <v>5009302</v>
      </c>
      <c r="E231" s="8">
        <v>750</v>
      </c>
      <c r="F231" s="9">
        <v>0.5</v>
      </c>
      <c r="G231" s="7" t="s">
        <v>961</v>
      </c>
    </row>
    <row r="232" spans="1:7" x14ac:dyDescent="0.3">
      <c r="A232" s="7">
        <v>28047</v>
      </c>
      <c r="B232" s="7" t="s">
        <v>257</v>
      </c>
      <c r="C232" s="7" t="s">
        <v>505</v>
      </c>
      <c r="D232" s="8">
        <v>213730</v>
      </c>
      <c r="E232" s="8">
        <v>59</v>
      </c>
      <c r="F232" s="9">
        <v>0.08</v>
      </c>
      <c r="G232" s="7" t="s">
        <v>961</v>
      </c>
    </row>
    <row r="233" spans="1:7" x14ac:dyDescent="0.3">
      <c r="A233" s="7">
        <v>15001</v>
      </c>
      <c r="B233" s="7" t="s">
        <v>526</v>
      </c>
      <c r="C233" s="7" t="s">
        <v>607</v>
      </c>
      <c r="D233" s="8">
        <v>209790</v>
      </c>
      <c r="E233" s="8">
        <v>45</v>
      </c>
      <c r="F233" s="9">
        <v>0.19</v>
      </c>
      <c r="G233" s="7"/>
    </row>
    <row r="234" spans="1:7" x14ac:dyDescent="0.3">
      <c r="A234" s="7">
        <v>48209</v>
      </c>
      <c r="B234" s="7" t="s">
        <v>604</v>
      </c>
      <c r="C234" s="7" t="s">
        <v>824</v>
      </c>
      <c r="D234" s="8">
        <v>292029</v>
      </c>
      <c r="E234" s="8">
        <v>33</v>
      </c>
      <c r="F234" s="9">
        <v>0.83</v>
      </c>
      <c r="G234" s="7" t="s">
        <v>961</v>
      </c>
    </row>
    <row r="235" spans="1:7" x14ac:dyDescent="0.3">
      <c r="A235" s="7">
        <v>37089</v>
      </c>
      <c r="B235" s="7" t="s">
        <v>467</v>
      </c>
      <c r="C235" s="7" t="s">
        <v>760</v>
      </c>
      <c r="D235" s="8">
        <v>120771</v>
      </c>
      <c r="E235" s="8">
        <v>17</v>
      </c>
      <c r="F235" s="9">
        <v>0.6</v>
      </c>
      <c r="G235" s="7" t="s">
        <v>961</v>
      </c>
    </row>
    <row r="236" spans="1:7" x14ac:dyDescent="0.3">
      <c r="A236" s="7">
        <v>18063</v>
      </c>
      <c r="B236" s="7" t="s">
        <v>35</v>
      </c>
      <c r="C236" s="7" t="s">
        <v>843</v>
      </c>
      <c r="D236" s="8">
        <v>190629</v>
      </c>
      <c r="E236" s="8">
        <v>20</v>
      </c>
      <c r="F236" s="9">
        <v>0</v>
      </c>
      <c r="G236" s="7" t="s">
        <v>961</v>
      </c>
    </row>
    <row r="237" spans="1:7" x14ac:dyDescent="0.3">
      <c r="A237" s="7">
        <v>27053</v>
      </c>
      <c r="B237" s="7" t="s">
        <v>475</v>
      </c>
      <c r="C237" s="7" t="s">
        <v>520</v>
      </c>
      <c r="D237" s="8">
        <v>1273334</v>
      </c>
      <c r="E237" s="8">
        <v>340</v>
      </c>
      <c r="F237" s="9">
        <v>0.01</v>
      </c>
      <c r="G237" s="7"/>
    </row>
    <row r="238" spans="1:7" x14ac:dyDescent="0.3">
      <c r="A238" s="7">
        <v>51087</v>
      </c>
      <c r="B238" s="7" t="s">
        <v>239</v>
      </c>
      <c r="C238" s="7" t="s">
        <v>642</v>
      </c>
      <c r="D238" s="8">
        <v>338696</v>
      </c>
      <c r="E238" s="8">
        <v>66</v>
      </c>
      <c r="F238" s="9">
        <v>0</v>
      </c>
      <c r="G238" s="7"/>
    </row>
    <row r="239" spans="1:7" x14ac:dyDescent="0.3">
      <c r="A239" s="7">
        <v>13151</v>
      </c>
      <c r="B239" s="7" t="s">
        <v>469</v>
      </c>
      <c r="C239" s="7" t="s">
        <v>766</v>
      </c>
      <c r="D239" s="8">
        <v>259315</v>
      </c>
      <c r="E239" s="8">
        <v>36</v>
      </c>
      <c r="F239" s="9">
        <v>0</v>
      </c>
      <c r="G239" s="7"/>
    </row>
    <row r="240" spans="1:7" x14ac:dyDescent="0.3">
      <c r="A240" s="7">
        <v>12053</v>
      </c>
      <c r="B240" s="7" t="s">
        <v>50</v>
      </c>
      <c r="C240" s="7" t="s">
        <v>545</v>
      </c>
      <c r="D240" s="8">
        <v>218150</v>
      </c>
      <c r="E240" s="8">
        <v>54</v>
      </c>
      <c r="F240" s="9">
        <v>0</v>
      </c>
      <c r="G240" s="7"/>
    </row>
    <row r="241" spans="1:7" x14ac:dyDescent="0.3">
      <c r="A241" s="7">
        <v>48215</v>
      </c>
      <c r="B241" s="7" t="s">
        <v>604</v>
      </c>
      <c r="C241" s="7" t="s">
        <v>901</v>
      </c>
      <c r="D241" s="8">
        <v>914820</v>
      </c>
      <c r="E241" s="8">
        <v>34</v>
      </c>
      <c r="F241" s="9">
        <v>1.07</v>
      </c>
      <c r="G241" s="7" t="s">
        <v>961</v>
      </c>
    </row>
    <row r="242" spans="1:7" x14ac:dyDescent="0.3">
      <c r="A242" s="7">
        <v>12055</v>
      </c>
      <c r="B242" s="7" t="s">
        <v>50</v>
      </c>
      <c r="C242" s="7" t="s">
        <v>750</v>
      </c>
      <c r="D242" s="8">
        <v>109778</v>
      </c>
      <c r="E242" s="8">
        <v>16</v>
      </c>
      <c r="F242" s="9">
        <v>0.06</v>
      </c>
      <c r="G242" s="7" t="s">
        <v>961</v>
      </c>
    </row>
    <row r="243" spans="1:7" x14ac:dyDescent="0.3">
      <c r="A243" s="7">
        <v>33011</v>
      </c>
      <c r="B243" s="7" t="s">
        <v>590</v>
      </c>
      <c r="C243" s="7" t="s">
        <v>612</v>
      </c>
      <c r="D243" s="8">
        <v>430462</v>
      </c>
      <c r="E243" s="8">
        <v>91</v>
      </c>
      <c r="F243" s="9">
        <v>0.03</v>
      </c>
      <c r="G243" s="7" t="s">
        <v>961</v>
      </c>
    </row>
    <row r="244" spans="1:7" x14ac:dyDescent="0.3">
      <c r="A244" s="7">
        <v>12057</v>
      </c>
      <c r="B244" s="7" t="s">
        <v>50</v>
      </c>
      <c r="C244" s="7" t="s">
        <v>612</v>
      </c>
      <c r="D244" s="8">
        <v>1581426</v>
      </c>
      <c r="E244" s="8">
        <v>274</v>
      </c>
      <c r="F244" s="9">
        <v>0.06</v>
      </c>
      <c r="G244" s="7"/>
    </row>
    <row r="245" spans="1:7" x14ac:dyDescent="0.3">
      <c r="A245" s="7">
        <v>28049</v>
      </c>
      <c r="B245" s="7" t="s">
        <v>257</v>
      </c>
      <c r="C245" s="7" t="s">
        <v>635</v>
      </c>
      <c r="D245" s="8">
        <v>211975</v>
      </c>
      <c r="E245" s="8">
        <v>42</v>
      </c>
      <c r="F245" s="9">
        <v>0.21</v>
      </c>
      <c r="G245" s="7" t="s">
        <v>961</v>
      </c>
    </row>
    <row r="246" spans="1:7" x14ac:dyDescent="0.3">
      <c r="A246" s="7">
        <v>15003</v>
      </c>
      <c r="B246" s="7" t="s">
        <v>526</v>
      </c>
      <c r="C246" s="7" t="s">
        <v>628</v>
      </c>
      <c r="D246" s="8">
        <v>998747</v>
      </c>
      <c r="E246" s="8">
        <v>200</v>
      </c>
      <c r="F246" s="9">
        <v>0.18</v>
      </c>
      <c r="G246" s="7" t="s">
        <v>961</v>
      </c>
    </row>
    <row r="247" spans="1:7" x14ac:dyDescent="0.3">
      <c r="A247" s="7">
        <v>45051</v>
      </c>
      <c r="B247" s="7" t="s">
        <v>458</v>
      </c>
      <c r="C247" s="7" t="s">
        <v>481</v>
      </c>
      <c r="D247" s="8">
        <v>413391</v>
      </c>
      <c r="E247" s="8">
        <v>127</v>
      </c>
      <c r="F247" s="9">
        <v>0.04</v>
      </c>
      <c r="G247" s="7" t="s">
        <v>961</v>
      </c>
    </row>
    <row r="248" spans="1:7" x14ac:dyDescent="0.3">
      <c r="A248" s="7">
        <v>1069</v>
      </c>
      <c r="B248" s="7" t="s">
        <v>463</v>
      </c>
      <c r="C248" s="7" t="s">
        <v>800</v>
      </c>
      <c r="D248" s="8">
        <v>109366</v>
      </c>
      <c r="E248" s="8">
        <v>11</v>
      </c>
      <c r="F248" s="9">
        <v>0.22</v>
      </c>
      <c r="G248" s="7"/>
    </row>
    <row r="249" spans="1:7" x14ac:dyDescent="0.3">
      <c r="A249" s="7">
        <v>13153</v>
      </c>
      <c r="B249" s="7" t="s">
        <v>469</v>
      </c>
      <c r="C249" s="7" t="s">
        <v>800</v>
      </c>
      <c r="D249" s="8">
        <v>174897</v>
      </c>
      <c r="E249" s="8">
        <v>22</v>
      </c>
      <c r="F249" s="9">
        <v>0.2</v>
      </c>
      <c r="G249" s="7"/>
    </row>
    <row r="250" spans="1:7" x14ac:dyDescent="0.3">
      <c r="A250" s="7">
        <v>24027</v>
      </c>
      <c r="B250" s="7" t="s">
        <v>11</v>
      </c>
      <c r="C250" s="7" t="s">
        <v>866</v>
      </c>
      <c r="D250" s="8">
        <v>339668</v>
      </c>
      <c r="E250" s="8">
        <v>32</v>
      </c>
      <c r="F250" s="9">
        <v>0.05</v>
      </c>
      <c r="G250" s="7" t="s">
        <v>961</v>
      </c>
    </row>
    <row r="251" spans="1:7" x14ac:dyDescent="0.3">
      <c r="A251" s="7">
        <v>34017</v>
      </c>
      <c r="B251" s="7" t="s">
        <v>237</v>
      </c>
      <c r="C251" s="7" t="s">
        <v>769</v>
      </c>
      <c r="D251" s="8">
        <v>736185</v>
      </c>
      <c r="E251" s="8">
        <v>102</v>
      </c>
      <c r="F251" s="9">
        <v>1.02</v>
      </c>
      <c r="G251" s="7" t="s">
        <v>961</v>
      </c>
    </row>
    <row r="252" spans="1:7" x14ac:dyDescent="0.3">
      <c r="A252" s="7">
        <v>6023</v>
      </c>
      <c r="B252" s="7" t="s">
        <v>15</v>
      </c>
      <c r="C252" s="7" t="s">
        <v>250</v>
      </c>
      <c r="D252" s="8">
        <v>132380</v>
      </c>
      <c r="E252" s="8">
        <v>63</v>
      </c>
      <c r="F252" s="9">
        <v>0</v>
      </c>
      <c r="G252" s="7"/>
    </row>
    <row r="253" spans="1:7" x14ac:dyDescent="0.3">
      <c r="A253" s="7">
        <v>48231</v>
      </c>
      <c r="B253" s="7" t="s">
        <v>604</v>
      </c>
      <c r="C253" s="7" t="s">
        <v>692</v>
      </c>
      <c r="D253" s="8">
        <v>118729</v>
      </c>
      <c r="E253" s="8">
        <v>20</v>
      </c>
      <c r="F253" s="9">
        <v>0.08</v>
      </c>
      <c r="G253" s="7"/>
    </row>
    <row r="254" spans="1:7" x14ac:dyDescent="0.3">
      <c r="A254" s="7">
        <v>34019</v>
      </c>
      <c r="B254" s="7" t="s">
        <v>237</v>
      </c>
      <c r="C254" s="7" t="s">
        <v>719</v>
      </c>
      <c r="D254" s="8">
        <v>131708</v>
      </c>
      <c r="E254" s="8">
        <v>21</v>
      </c>
      <c r="F254" s="9">
        <v>0.2</v>
      </c>
      <c r="G254" s="7"/>
    </row>
    <row r="255" spans="1:7" x14ac:dyDescent="0.3">
      <c r="A255" s="7">
        <v>6025</v>
      </c>
      <c r="B255" s="7" t="s">
        <v>15</v>
      </c>
      <c r="C255" s="7" t="s">
        <v>782</v>
      </c>
      <c r="D255" s="8">
        <v>181724</v>
      </c>
      <c r="E255" s="8">
        <v>24</v>
      </c>
      <c r="F255" s="9">
        <v>3.77</v>
      </c>
      <c r="G255" s="7" t="s">
        <v>961</v>
      </c>
    </row>
    <row r="256" spans="1:7" x14ac:dyDescent="0.3">
      <c r="A256" s="7">
        <v>12061</v>
      </c>
      <c r="B256" s="7" t="s">
        <v>50</v>
      </c>
      <c r="C256" s="7" t="s">
        <v>670</v>
      </c>
      <c r="D256" s="8">
        <v>172139</v>
      </c>
      <c r="E256" s="8">
        <v>31</v>
      </c>
      <c r="F256" s="9">
        <v>0.04</v>
      </c>
      <c r="G256" s="7" t="s">
        <v>961</v>
      </c>
    </row>
    <row r="257" spans="1:7" x14ac:dyDescent="0.3">
      <c r="A257" s="7">
        <v>26065</v>
      </c>
      <c r="B257" s="7" t="s">
        <v>480</v>
      </c>
      <c r="C257" s="7" t="s">
        <v>639</v>
      </c>
      <c r="D257" s="8">
        <v>290427</v>
      </c>
      <c r="E257" s="8">
        <v>57</v>
      </c>
      <c r="F257" s="9">
        <v>0.16</v>
      </c>
      <c r="G257" s="7" t="s">
        <v>961</v>
      </c>
    </row>
    <row r="258" spans="1:7" x14ac:dyDescent="0.3">
      <c r="A258" s="7">
        <v>37097</v>
      </c>
      <c r="B258" s="7" t="s">
        <v>467</v>
      </c>
      <c r="C258" s="7" t="s">
        <v>788</v>
      </c>
      <c r="D258" s="8">
        <v>206361</v>
      </c>
      <c r="E258" s="8">
        <v>27</v>
      </c>
      <c r="F258" s="9">
        <v>0.36</v>
      </c>
      <c r="G258" s="7" t="s">
        <v>961</v>
      </c>
    </row>
    <row r="259" spans="1:7" x14ac:dyDescent="0.3">
      <c r="A259" s="7">
        <v>29095</v>
      </c>
      <c r="B259" s="7" t="s">
        <v>230</v>
      </c>
      <c r="C259" s="7" t="s">
        <v>256</v>
      </c>
      <c r="D259" s="8">
        <v>727362</v>
      </c>
      <c r="E259" s="8">
        <v>231</v>
      </c>
      <c r="F259" s="9">
        <v>0</v>
      </c>
      <c r="G259" s="7"/>
    </row>
    <row r="260" spans="1:7" x14ac:dyDescent="0.3">
      <c r="A260" s="7">
        <v>26075</v>
      </c>
      <c r="B260" s="7" t="s">
        <v>480</v>
      </c>
      <c r="C260" s="7" t="s">
        <v>256</v>
      </c>
      <c r="D260" s="8">
        <v>160233</v>
      </c>
      <c r="E260" s="8">
        <v>27</v>
      </c>
      <c r="F260" s="9">
        <v>0.53</v>
      </c>
      <c r="G260" s="7"/>
    </row>
    <row r="261" spans="1:7" x14ac:dyDescent="0.3">
      <c r="A261" s="7">
        <v>41029</v>
      </c>
      <c r="B261" s="7" t="s">
        <v>21</v>
      </c>
      <c r="C261" s="7" t="s">
        <v>256</v>
      </c>
      <c r="D261" s="8">
        <v>221331</v>
      </c>
      <c r="E261" s="8">
        <v>65</v>
      </c>
      <c r="F261" s="9">
        <v>0.81</v>
      </c>
      <c r="G261" s="7" t="s">
        <v>961</v>
      </c>
    </row>
    <row r="262" spans="1:7" x14ac:dyDescent="0.3">
      <c r="A262" s="7">
        <v>28059</v>
      </c>
      <c r="B262" s="7" t="s">
        <v>257</v>
      </c>
      <c r="C262" s="7" t="s">
        <v>256</v>
      </c>
      <c r="D262" s="8">
        <v>147002</v>
      </c>
      <c r="E262" s="8">
        <v>58</v>
      </c>
      <c r="F262" s="9">
        <v>0</v>
      </c>
      <c r="G262" s="7" t="s">
        <v>961</v>
      </c>
    </row>
    <row r="263" spans="1:7" x14ac:dyDescent="0.3">
      <c r="A263" s="7">
        <v>29097</v>
      </c>
      <c r="B263" s="7" t="s">
        <v>230</v>
      </c>
      <c r="C263" s="7" t="s">
        <v>862</v>
      </c>
      <c r="D263" s="8">
        <v>126479</v>
      </c>
      <c r="E263" s="8">
        <v>12</v>
      </c>
      <c r="F263" s="9">
        <v>0</v>
      </c>
      <c r="G263" s="7"/>
    </row>
    <row r="264" spans="1:7" x14ac:dyDescent="0.3">
      <c r="A264" s="7">
        <v>29099</v>
      </c>
      <c r="B264" s="7" t="s">
        <v>230</v>
      </c>
      <c r="C264" s="7" t="s">
        <v>40</v>
      </c>
      <c r="D264" s="8">
        <v>231888</v>
      </c>
      <c r="E264" s="8">
        <v>63</v>
      </c>
      <c r="F264" s="9">
        <v>0</v>
      </c>
      <c r="G264" s="7" t="s">
        <v>961</v>
      </c>
    </row>
    <row r="265" spans="1:7" x14ac:dyDescent="0.3">
      <c r="A265" s="7">
        <v>21111</v>
      </c>
      <c r="B265" s="7" t="s">
        <v>41</v>
      </c>
      <c r="C265" s="7" t="s">
        <v>40</v>
      </c>
      <c r="D265" s="8">
        <v>793881</v>
      </c>
      <c r="E265" s="8">
        <v>286</v>
      </c>
      <c r="F265" s="9">
        <v>7.0000000000000007E-2</v>
      </c>
      <c r="G265" s="7"/>
    </row>
    <row r="266" spans="1:7" x14ac:dyDescent="0.3">
      <c r="A266" s="7">
        <v>1073</v>
      </c>
      <c r="B266" s="7" t="s">
        <v>463</v>
      </c>
      <c r="C266" s="7" t="s">
        <v>40</v>
      </c>
      <c r="D266" s="8">
        <v>664744</v>
      </c>
      <c r="E266" s="8">
        <v>216</v>
      </c>
      <c r="F266" s="9">
        <v>0.1</v>
      </c>
      <c r="G266" s="7"/>
    </row>
    <row r="267" spans="1:7" x14ac:dyDescent="0.3">
      <c r="A267" s="7">
        <v>36045</v>
      </c>
      <c r="B267" s="7" t="s">
        <v>32</v>
      </c>
      <c r="C267" s="7" t="s">
        <v>40</v>
      </c>
      <c r="D267" s="8">
        <v>113140</v>
      </c>
      <c r="E267" s="8">
        <v>16</v>
      </c>
      <c r="F267" s="9">
        <v>0.57999999999999996</v>
      </c>
      <c r="G267" s="7" t="s">
        <v>961</v>
      </c>
    </row>
    <row r="268" spans="1:7" x14ac:dyDescent="0.3">
      <c r="A268" s="7">
        <v>48245</v>
      </c>
      <c r="B268" s="7" t="s">
        <v>604</v>
      </c>
      <c r="C268" s="7" t="s">
        <v>40</v>
      </c>
      <c r="D268" s="8">
        <v>253948</v>
      </c>
      <c r="E268" s="8">
        <v>54</v>
      </c>
      <c r="F268" s="9">
        <v>0.24</v>
      </c>
      <c r="G268" s="7"/>
    </row>
    <row r="269" spans="1:7" x14ac:dyDescent="0.3">
      <c r="A269" s="7">
        <v>8059</v>
      </c>
      <c r="B269" s="7" t="s">
        <v>17</v>
      </c>
      <c r="C269" s="7" t="s">
        <v>40</v>
      </c>
      <c r="D269" s="8">
        <v>578533</v>
      </c>
      <c r="E269" s="8">
        <v>137</v>
      </c>
      <c r="F269" s="9">
        <v>0.02</v>
      </c>
      <c r="G269" s="7"/>
    </row>
    <row r="270" spans="1:7" x14ac:dyDescent="0.3">
      <c r="A270" s="7">
        <v>22051</v>
      </c>
      <c r="B270" s="7" t="s">
        <v>24</v>
      </c>
      <c r="C270" s="7" t="s">
        <v>472</v>
      </c>
      <c r="D270" s="8">
        <v>427253</v>
      </c>
      <c r="E270" s="8">
        <v>136</v>
      </c>
      <c r="F270" s="9">
        <v>0</v>
      </c>
      <c r="G270" s="7"/>
    </row>
    <row r="271" spans="1:7" x14ac:dyDescent="0.3">
      <c r="A271" s="7">
        <v>18081</v>
      </c>
      <c r="B271" s="7" t="s">
        <v>35</v>
      </c>
      <c r="C271" s="7" t="s">
        <v>577</v>
      </c>
      <c r="D271" s="8">
        <v>170614</v>
      </c>
      <c r="E271" s="8">
        <v>39</v>
      </c>
      <c r="F271" s="9">
        <v>0</v>
      </c>
      <c r="G271" s="7" t="s">
        <v>961</v>
      </c>
    </row>
    <row r="272" spans="1:7" x14ac:dyDescent="0.3">
      <c r="A272" s="7">
        <v>48251</v>
      </c>
      <c r="B272" s="7" t="s">
        <v>604</v>
      </c>
      <c r="C272" s="7" t="s">
        <v>577</v>
      </c>
      <c r="D272" s="8">
        <v>210547</v>
      </c>
      <c r="E272" s="8">
        <v>34</v>
      </c>
      <c r="F272" s="9">
        <v>0.05</v>
      </c>
      <c r="G272" s="7"/>
    </row>
    <row r="273" spans="1:7" x14ac:dyDescent="0.3">
      <c r="A273" s="7">
        <v>19103</v>
      </c>
      <c r="B273" s="7" t="s">
        <v>627</v>
      </c>
      <c r="C273" s="7" t="s">
        <v>577</v>
      </c>
      <c r="D273" s="8">
        <v>160080</v>
      </c>
      <c r="E273" s="8">
        <v>16</v>
      </c>
      <c r="F273" s="9">
        <v>0</v>
      </c>
      <c r="G273" s="7"/>
    </row>
    <row r="274" spans="1:7" x14ac:dyDescent="0.3">
      <c r="A274" s="7">
        <v>20091</v>
      </c>
      <c r="B274" s="7" t="s">
        <v>267</v>
      </c>
      <c r="C274" s="7" t="s">
        <v>577</v>
      </c>
      <c r="D274" s="8">
        <v>632276</v>
      </c>
      <c r="E274" s="8">
        <v>74</v>
      </c>
      <c r="F274" s="9">
        <v>0</v>
      </c>
      <c r="G274" s="7"/>
    </row>
    <row r="275" spans="1:7" x14ac:dyDescent="0.3">
      <c r="A275" s="7">
        <v>37101</v>
      </c>
      <c r="B275" s="7" t="s">
        <v>467</v>
      </c>
      <c r="C275" s="7" t="s">
        <v>845</v>
      </c>
      <c r="D275" s="8">
        <v>249794</v>
      </c>
      <c r="E275" s="8">
        <v>26</v>
      </c>
      <c r="F275" s="9">
        <v>1.55</v>
      </c>
      <c r="G275" s="7" t="s">
        <v>961</v>
      </c>
    </row>
    <row r="276" spans="1:7" x14ac:dyDescent="0.3">
      <c r="A276" s="7">
        <v>26077</v>
      </c>
      <c r="B276" s="7" t="s">
        <v>480</v>
      </c>
      <c r="C276" s="7" t="s">
        <v>720</v>
      </c>
      <c r="D276" s="8">
        <v>264780</v>
      </c>
      <c r="E276" s="8">
        <v>42</v>
      </c>
      <c r="F276" s="9">
        <v>0.26</v>
      </c>
      <c r="G276" s="7" t="s">
        <v>961</v>
      </c>
    </row>
    <row r="277" spans="1:7" x14ac:dyDescent="0.3">
      <c r="A277" s="7">
        <v>54039</v>
      </c>
      <c r="B277" s="7" t="s">
        <v>253</v>
      </c>
      <c r="C277" s="7" t="s">
        <v>252</v>
      </c>
      <c r="D277" s="8">
        <v>173906</v>
      </c>
      <c r="E277" s="8">
        <v>78</v>
      </c>
      <c r="F277" s="9">
        <v>0.48</v>
      </c>
      <c r="G277" s="7" t="s">
        <v>961</v>
      </c>
    </row>
    <row r="278" spans="1:7" x14ac:dyDescent="0.3">
      <c r="A278" s="7">
        <v>17089</v>
      </c>
      <c r="B278" s="7" t="s">
        <v>262</v>
      </c>
      <c r="C278" s="7" t="s">
        <v>873</v>
      </c>
      <c r="D278" s="8">
        <v>520997</v>
      </c>
      <c r="E278" s="8">
        <v>47</v>
      </c>
      <c r="F278" s="9">
        <v>0.05</v>
      </c>
      <c r="G278" s="7"/>
    </row>
    <row r="279" spans="1:7" x14ac:dyDescent="0.3">
      <c r="A279" s="7">
        <v>17091</v>
      </c>
      <c r="B279" s="7" t="s">
        <v>262</v>
      </c>
      <c r="C279" s="7" t="s">
        <v>690</v>
      </c>
      <c r="D279" s="8">
        <v>106410</v>
      </c>
      <c r="E279" s="8">
        <v>18</v>
      </c>
      <c r="F279" s="9">
        <v>0</v>
      </c>
      <c r="G279" s="7"/>
    </row>
    <row r="280" spans="1:7" x14ac:dyDescent="0.3">
      <c r="A280" s="7">
        <v>48257</v>
      </c>
      <c r="B280" s="7" t="s">
        <v>604</v>
      </c>
      <c r="C280" s="7" t="s">
        <v>811</v>
      </c>
      <c r="D280" s="8">
        <v>197829</v>
      </c>
      <c r="E280" s="8">
        <v>24</v>
      </c>
      <c r="F280" s="9">
        <v>0</v>
      </c>
      <c r="G280" s="7" t="s">
        <v>961</v>
      </c>
    </row>
    <row r="281" spans="1:7" x14ac:dyDescent="0.3">
      <c r="A281" s="7">
        <v>17093</v>
      </c>
      <c r="B281" s="7" t="s">
        <v>262</v>
      </c>
      <c r="C281" s="7" t="s">
        <v>884</v>
      </c>
      <c r="D281" s="8">
        <v>143171</v>
      </c>
      <c r="E281" s="8">
        <v>12</v>
      </c>
      <c r="F281" s="9">
        <v>0.13</v>
      </c>
      <c r="G281" s="7"/>
    </row>
    <row r="282" spans="1:7" x14ac:dyDescent="0.3">
      <c r="A282" s="7">
        <v>23011</v>
      </c>
      <c r="B282" s="7" t="s">
        <v>455</v>
      </c>
      <c r="C282" s="7" t="s">
        <v>582</v>
      </c>
      <c r="D282" s="8">
        <v>128461</v>
      </c>
      <c r="E282" s="8">
        <v>29</v>
      </c>
      <c r="F282" s="9">
        <v>0.06</v>
      </c>
      <c r="G282" s="7"/>
    </row>
    <row r="283" spans="1:7" x14ac:dyDescent="0.3">
      <c r="A283" s="7">
        <v>55059</v>
      </c>
      <c r="B283" s="7" t="s">
        <v>38</v>
      </c>
      <c r="C283" s="7" t="s">
        <v>700</v>
      </c>
      <c r="D283" s="8">
        <v>168754</v>
      </c>
      <c r="E283" s="8">
        <v>28</v>
      </c>
      <c r="F283" s="9">
        <v>0.06</v>
      </c>
      <c r="G283" s="7"/>
    </row>
    <row r="284" spans="1:7" x14ac:dyDescent="0.3">
      <c r="A284" s="7">
        <v>10001</v>
      </c>
      <c r="B284" s="7" t="s">
        <v>47</v>
      </c>
      <c r="C284" s="7" t="s">
        <v>265</v>
      </c>
      <c r="D284" s="8">
        <v>192690</v>
      </c>
      <c r="E284" s="8">
        <v>69</v>
      </c>
      <c r="F284" s="9">
        <v>0</v>
      </c>
      <c r="G284" s="7"/>
    </row>
    <row r="285" spans="1:7" x14ac:dyDescent="0.3">
      <c r="A285" s="7">
        <v>44003</v>
      </c>
      <c r="B285" s="7" t="s">
        <v>543</v>
      </c>
      <c r="C285" s="7" t="s">
        <v>265</v>
      </c>
      <c r="D285" s="8">
        <v>172450</v>
      </c>
      <c r="E285" s="8">
        <v>43</v>
      </c>
      <c r="F285" s="9">
        <v>0.16</v>
      </c>
      <c r="G285" s="7"/>
    </row>
    <row r="286" spans="1:7" x14ac:dyDescent="0.3">
      <c r="A286" s="7">
        <v>26081</v>
      </c>
      <c r="B286" s="7" t="s">
        <v>480</v>
      </c>
      <c r="C286" s="7" t="s">
        <v>265</v>
      </c>
      <c r="D286" s="8">
        <v>673002</v>
      </c>
      <c r="E286" s="8">
        <v>63</v>
      </c>
      <c r="F286" s="9">
        <v>0.08</v>
      </c>
      <c r="G286" s="7" t="s">
        <v>961</v>
      </c>
    </row>
    <row r="287" spans="1:7" x14ac:dyDescent="0.3">
      <c r="A287" s="7">
        <v>21117</v>
      </c>
      <c r="B287" s="7" t="s">
        <v>41</v>
      </c>
      <c r="C287" s="7" t="s">
        <v>523</v>
      </c>
      <c r="D287" s="8">
        <v>174862</v>
      </c>
      <c r="E287" s="8">
        <v>46</v>
      </c>
      <c r="F287" s="9">
        <v>0</v>
      </c>
      <c r="G287" s="7" t="s">
        <v>961</v>
      </c>
    </row>
    <row r="288" spans="1:7" x14ac:dyDescent="0.3">
      <c r="A288" s="7">
        <v>6029</v>
      </c>
      <c r="B288" s="7" t="s">
        <v>15</v>
      </c>
      <c r="C288" s="7" t="s">
        <v>451</v>
      </c>
      <c r="D288" s="8">
        <v>922529</v>
      </c>
      <c r="E288" s="8">
        <v>310</v>
      </c>
      <c r="F288" s="9">
        <v>0.26</v>
      </c>
      <c r="G288" s="7" t="s">
        <v>961</v>
      </c>
    </row>
    <row r="289" spans="1:7" x14ac:dyDescent="0.3">
      <c r="A289" s="10">
        <v>53033</v>
      </c>
      <c r="B289" s="10" t="s">
        <v>13</v>
      </c>
      <c r="C289" s="10" t="s">
        <v>33</v>
      </c>
      <c r="D289" s="11">
        <v>2340211</v>
      </c>
      <c r="E289" s="11">
        <v>921</v>
      </c>
      <c r="F289" s="12">
        <v>0.05</v>
      </c>
      <c r="G289" s="10" t="s">
        <v>961</v>
      </c>
    </row>
    <row r="290" spans="1:7" x14ac:dyDescent="0.3">
      <c r="A290" s="7">
        <v>6031</v>
      </c>
      <c r="B290" s="7" t="s">
        <v>15</v>
      </c>
      <c r="C290" s="7" t="s">
        <v>681</v>
      </c>
      <c r="D290" s="8">
        <v>154913</v>
      </c>
      <c r="E290" s="8">
        <v>18</v>
      </c>
      <c r="F290" s="9">
        <v>0.86</v>
      </c>
      <c r="G290" s="7"/>
    </row>
    <row r="291" spans="1:7" x14ac:dyDescent="0.3">
      <c r="A291" s="7">
        <v>36047</v>
      </c>
      <c r="B291" s="7" t="s">
        <v>32</v>
      </c>
      <c r="C291" s="7" t="s">
        <v>681</v>
      </c>
      <c r="D291" s="8">
        <v>2617631</v>
      </c>
      <c r="E291" s="8">
        <v>458</v>
      </c>
      <c r="F291" s="9">
        <v>0.39</v>
      </c>
      <c r="G291" s="7"/>
    </row>
    <row r="292" spans="1:7" x14ac:dyDescent="0.3">
      <c r="A292" s="10">
        <v>53035</v>
      </c>
      <c r="B292" s="10" t="s">
        <v>13</v>
      </c>
      <c r="C292" s="10" t="s">
        <v>510</v>
      </c>
      <c r="D292" s="11">
        <v>281420</v>
      </c>
      <c r="E292" s="11">
        <v>77</v>
      </c>
      <c r="F292" s="12">
        <v>0.16</v>
      </c>
      <c r="G292" s="10" t="s">
        <v>961</v>
      </c>
    </row>
    <row r="293" spans="1:7" x14ac:dyDescent="0.3">
      <c r="A293" s="7">
        <v>47093</v>
      </c>
      <c r="B293" s="7" t="s">
        <v>27</v>
      </c>
      <c r="C293" s="7" t="s">
        <v>26</v>
      </c>
      <c r="D293" s="8">
        <v>506748</v>
      </c>
      <c r="E293" s="8">
        <v>233</v>
      </c>
      <c r="F293" s="9">
        <v>0.02</v>
      </c>
      <c r="G293" s="7" t="s">
        <v>961</v>
      </c>
    </row>
    <row r="294" spans="1:7" x14ac:dyDescent="0.3">
      <c r="A294" s="7">
        <v>16055</v>
      </c>
      <c r="B294" s="7" t="s">
        <v>610</v>
      </c>
      <c r="C294" s="7" t="s">
        <v>609</v>
      </c>
      <c r="D294" s="8">
        <v>188323</v>
      </c>
      <c r="E294" s="8">
        <v>40</v>
      </c>
      <c r="F294" s="9">
        <v>0</v>
      </c>
      <c r="G294" s="7"/>
    </row>
    <row r="295" spans="1:7" x14ac:dyDescent="0.3">
      <c r="A295" s="7">
        <v>55063</v>
      </c>
      <c r="B295" s="7" t="s">
        <v>38</v>
      </c>
      <c r="C295" s="7" t="s">
        <v>665</v>
      </c>
      <c r="D295" s="8">
        <v>121060</v>
      </c>
      <c r="E295" s="8">
        <v>22</v>
      </c>
      <c r="F295" s="9">
        <v>0.09</v>
      </c>
      <c r="G295" s="7"/>
    </row>
    <row r="296" spans="1:7" x14ac:dyDescent="0.3">
      <c r="A296" s="7">
        <v>18091</v>
      </c>
      <c r="B296" s="7" t="s">
        <v>35</v>
      </c>
      <c r="C296" s="7" t="s">
        <v>500</v>
      </c>
      <c r="D296" s="8">
        <v>111348</v>
      </c>
      <c r="E296" s="8">
        <v>31</v>
      </c>
      <c r="F296" s="9">
        <v>0</v>
      </c>
      <c r="G296" s="7"/>
    </row>
    <row r="297" spans="1:7" x14ac:dyDescent="0.3">
      <c r="A297" s="7">
        <v>17099</v>
      </c>
      <c r="B297" s="7" t="s">
        <v>262</v>
      </c>
      <c r="C297" s="7" t="s">
        <v>662</v>
      </c>
      <c r="D297" s="8">
        <v>108390</v>
      </c>
      <c r="E297" s="8">
        <v>20</v>
      </c>
      <c r="F297" s="9">
        <v>0.23</v>
      </c>
      <c r="G297" s="7"/>
    </row>
    <row r="298" spans="1:7" x14ac:dyDescent="0.3">
      <c r="A298" s="7">
        <v>42069</v>
      </c>
      <c r="B298" s="7" t="s">
        <v>19</v>
      </c>
      <c r="C298" s="7" t="s">
        <v>552</v>
      </c>
      <c r="D298" s="8">
        <v>216859</v>
      </c>
      <c r="E298" s="8">
        <v>52</v>
      </c>
      <c r="F298" s="9">
        <v>0.31</v>
      </c>
      <c r="G298" s="7" t="s">
        <v>961</v>
      </c>
    </row>
    <row r="299" spans="1:7" x14ac:dyDescent="0.3">
      <c r="A299" s="7">
        <v>22055</v>
      </c>
      <c r="B299" s="7" t="s">
        <v>24</v>
      </c>
      <c r="C299" s="7" t="s">
        <v>714</v>
      </c>
      <c r="D299" s="8">
        <v>254241</v>
      </c>
      <c r="E299" s="8">
        <v>41</v>
      </c>
      <c r="F299" s="9">
        <v>0</v>
      </c>
      <c r="G299" s="7"/>
    </row>
    <row r="300" spans="1:7" x14ac:dyDescent="0.3">
      <c r="A300" s="7">
        <v>39085</v>
      </c>
      <c r="B300" s="7" t="s">
        <v>447</v>
      </c>
      <c r="C300" s="7" t="s">
        <v>560</v>
      </c>
      <c r="D300" s="8">
        <v>232360</v>
      </c>
      <c r="E300" s="8">
        <v>30</v>
      </c>
      <c r="F300" s="9">
        <v>0.04</v>
      </c>
      <c r="G300" s="7"/>
    </row>
    <row r="301" spans="1:7" x14ac:dyDescent="0.3">
      <c r="A301" s="7">
        <v>17097</v>
      </c>
      <c r="B301" s="7" t="s">
        <v>262</v>
      </c>
      <c r="C301" s="7" t="s">
        <v>560</v>
      </c>
      <c r="D301" s="8">
        <v>718604</v>
      </c>
      <c r="E301" s="8">
        <v>74</v>
      </c>
      <c r="F301" s="9">
        <v>0.08</v>
      </c>
      <c r="G301" s="7" t="s">
        <v>961</v>
      </c>
    </row>
    <row r="302" spans="1:7" x14ac:dyDescent="0.3">
      <c r="A302" s="7">
        <v>12069</v>
      </c>
      <c r="B302" s="7" t="s">
        <v>50</v>
      </c>
      <c r="C302" s="7" t="s">
        <v>560</v>
      </c>
      <c r="D302" s="8">
        <v>444204</v>
      </c>
      <c r="E302" s="8">
        <v>70</v>
      </c>
      <c r="F302" s="9">
        <v>0.08</v>
      </c>
      <c r="G302" s="7"/>
    </row>
    <row r="303" spans="1:7" x14ac:dyDescent="0.3">
      <c r="A303" s="7">
        <v>18089</v>
      </c>
      <c r="B303" s="7" t="s">
        <v>35</v>
      </c>
      <c r="C303" s="7" t="s">
        <v>560</v>
      </c>
      <c r="D303" s="8">
        <v>502955</v>
      </c>
      <c r="E303" s="8">
        <v>119</v>
      </c>
      <c r="F303" s="9">
        <v>0.02</v>
      </c>
      <c r="G303" s="7" t="s">
        <v>961</v>
      </c>
    </row>
    <row r="304" spans="1:7" x14ac:dyDescent="0.3">
      <c r="A304" s="7">
        <v>45057</v>
      </c>
      <c r="B304" s="7" t="s">
        <v>458</v>
      </c>
      <c r="C304" s="7" t="s">
        <v>491</v>
      </c>
      <c r="D304" s="8">
        <v>111652</v>
      </c>
      <c r="E304" s="8">
        <v>33</v>
      </c>
      <c r="F304" s="9">
        <v>0</v>
      </c>
      <c r="G304" s="7"/>
    </row>
    <row r="305" spans="1:7" x14ac:dyDescent="0.3">
      <c r="A305" s="7">
        <v>31109</v>
      </c>
      <c r="B305" s="7" t="s">
        <v>868</v>
      </c>
      <c r="C305" s="7" t="s">
        <v>491</v>
      </c>
      <c r="D305" s="8">
        <v>332857</v>
      </c>
      <c r="E305" s="8">
        <v>25</v>
      </c>
      <c r="F305" s="9">
        <v>0.08</v>
      </c>
      <c r="G305" s="7" t="s">
        <v>961</v>
      </c>
    </row>
    <row r="306" spans="1:7" x14ac:dyDescent="0.3">
      <c r="A306" s="7">
        <v>42071</v>
      </c>
      <c r="B306" s="7" t="s">
        <v>19</v>
      </c>
      <c r="C306" s="7" t="s">
        <v>491</v>
      </c>
      <c r="D306" s="8">
        <v>563293</v>
      </c>
      <c r="E306" s="8">
        <v>43</v>
      </c>
      <c r="F306" s="9">
        <v>0.02</v>
      </c>
      <c r="G306" s="7" t="s">
        <v>961</v>
      </c>
    </row>
    <row r="307" spans="1:7" x14ac:dyDescent="0.3">
      <c r="A307" s="7">
        <v>41039</v>
      </c>
      <c r="B307" s="7" t="s">
        <v>21</v>
      </c>
      <c r="C307" s="7" t="s">
        <v>473</v>
      </c>
      <c r="D307" s="8">
        <v>382396</v>
      </c>
      <c r="E307" s="8">
        <v>121</v>
      </c>
      <c r="F307" s="9">
        <v>0.86</v>
      </c>
      <c r="G307" s="7" t="s">
        <v>961</v>
      </c>
    </row>
    <row r="308" spans="1:7" x14ac:dyDescent="0.3">
      <c r="A308" s="7">
        <v>56021</v>
      </c>
      <c r="B308" s="7" t="s">
        <v>696</v>
      </c>
      <c r="C308" s="7" t="s">
        <v>695</v>
      </c>
      <c r="D308" s="8">
        <v>101783</v>
      </c>
      <c r="E308" s="8">
        <v>17</v>
      </c>
      <c r="F308" s="9">
        <v>0</v>
      </c>
      <c r="G308" s="7"/>
    </row>
    <row r="309" spans="1:7" x14ac:dyDescent="0.3">
      <c r="A309" s="7">
        <v>8069</v>
      </c>
      <c r="B309" s="7" t="s">
        <v>17</v>
      </c>
      <c r="C309" s="7" t="s">
        <v>779</v>
      </c>
      <c r="D309" s="8">
        <v>374574</v>
      </c>
      <c r="E309" s="8">
        <v>50</v>
      </c>
      <c r="F309" s="9">
        <v>7.0000000000000007E-2</v>
      </c>
      <c r="G309" s="7" t="s">
        <v>961</v>
      </c>
    </row>
    <row r="310" spans="1:7" x14ac:dyDescent="0.3">
      <c r="A310" s="7">
        <v>42075</v>
      </c>
      <c r="B310" s="7" t="s">
        <v>19</v>
      </c>
      <c r="C310" s="7" t="s">
        <v>816</v>
      </c>
      <c r="D310" s="8">
        <v>145319</v>
      </c>
      <c r="E310" s="8">
        <v>17</v>
      </c>
      <c r="F310" s="9">
        <v>0</v>
      </c>
      <c r="G310" s="7" t="s">
        <v>961</v>
      </c>
    </row>
    <row r="311" spans="1:7" x14ac:dyDescent="0.3">
      <c r="A311" s="7">
        <v>12071</v>
      </c>
      <c r="B311" s="7" t="s">
        <v>50</v>
      </c>
      <c r="C311" s="7" t="s">
        <v>757</v>
      </c>
      <c r="D311" s="8">
        <v>860959</v>
      </c>
      <c r="E311" s="8">
        <v>124</v>
      </c>
      <c r="F311" s="9">
        <v>0.01</v>
      </c>
      <c r="G311" s="7"/>
    </row>
    <row r="312" spans="1:7" x14ac:dyDescent="0.3">
      <c r="A312" s="7">
        <v>1081</v>
      </c>
      <c r="B312" s="7" t="s">
        <v>463</v>
      </c>
      <c r="C312" s="7" t="s">
        <v>757</v>
      </c>
      <c r="D312" s="8">
        <v>187847</v>
      </c>
      <c r="E312" s="8"/>
      <c r="F312" s="9">
        <v>0</v>
      </c>
      <c r="G312" s="7"/>
    </row>
    <row r="313" spans="1:7" x14ac:dyDescent="0.3">
      <c r="A313" s="7">
        <v>42077</v>
      </c>
      <c r="B313" s="7" t="s">
        <v>19</v>
      </c>
      <c r="C313" s="7" t="s">
        <v>709</v>
      </c>
      <c r="D313" s="8">
        <v>385655</v>
      </c>
      <c r="E313" s="8">
        <v>63</v>
      </c>
      <c r="F313" s="9">
        <v>0.06</v>
      </c>
      <c r="G313" s="7" t="s">
        <v>961</v>
      </c>
    </row>
    <row r="314" spans="1:7" x14ac:dyDescent="0.3">
      <c r="A314" s="7">
        <v>12073</v>
      </c>
      <c r="B314" s="7" t="s">
        <v>50</v>
      </c>
      <c r="C314" s="7" t="s">
        <v>831</v>
      </c>
      <c r="D314" s="8">
        <v>300488</v>
      </c>
      <c r="E314" s="8">
        <v>33</v>
      </c>
      <c r="F314" s="9">
        <v>0.04</v>
      </c>
      <c r="G314" s="7"/>
    </row>
    <row r="315" spans="1:7" x14ac:dyDescent="0.3">
      <c r="A315" s="7">
        <v>45063</v>
      </c>
      <c r="B315" s="7" t="s">
        <v>458</v>
      </c>
      <c r="C315" s="7" t="s">
        <v>535</v>
      </c>
      <c r="D315" s="8">
        <v>313774</v>
      </c>
      <c r="E315" s="8">
        <v>80</v>
      </c>
      <c r="F315" s="9">
        <v>0.03</v>
      </c>
      <c r="G315" s="7"/>
    </row>
    <row r="316" spans="1:7" x14ac:dyDescent="0.3">
      <c r="A316" s="7">
        <v>48291</v>
      </c>
      <c r="B316" s="7" t="s">
        <v>604</v>
      </c>
      <c r="C316" s="7" t="s">
        <v>742</v>
      </c>
      <c r="D316" s="8">
        <v>115042</v>
      </c>
      <c r="E316" s="8">
        <v>17</v>
      </c>
      <c r="F316" s="9">
        <v>0</v>
      </c>
      <c r="G316" s="7"/>
    </row>
    <row r="317" spans="1:7" x14ac:dyDescent="0.3">
      <c r="A317" s="7">
        <v>39089</v>
      </c>
      <c r="B317" s="7" t="s">
        <v>447</v>
      </c>
      <c r="C317" s="7" t="s">
        <v>821</v>
      </c>
      <c r="D317" s="8">
        <v>184898</v>
      </c>
      <c r="E317" s="8">
        <v>21</v>
      </c>
      <c r="F317" s="9">
        <v>0.11</v>
      </c>
      <c r="G317" s="7"/>
    </row>
    <row r="318" spans="1:7" x14ac:dyDescent="0.3">
      <c r="A318" s="7">
        <v>1083</v>
      </c>
      <c r="B318" s="7" t="s">
        <v>463</v>
      </c>
      <c r="C318" s="7" t="s">
        <v>834</v>
      </c>
      <c r="D318" s="8">
        <v>118942</v>
      </c>
      <c r="E318" s="8">
        <v>13</v>
      </c>
      <c r="F318" s="9">
        <v>0.54</v>
      </c>
      <c r="G318" s="7"/>
    </row>
    <row r="319" spans="1:7" x14ac:dyDescent="0.3">
      <c r="A319" s="7">
        <v>19113</v>
      </c>
      <c r="B319" s="7" t="s">
        <v>627</v>
      </c>
      <c r="C319" s="7" t="s">
        <v>533</v>
      </c>
      <c r="D319" s="8">
        <v>231762</v>
      </c>
      <c r="E319" s="8">
        <v>34</v>
      </c>
      <c r="F319" s="9">
        <v>0.09</v>
      </c>
      <c r="G319" s="7"/>
    </row>
    <row r="320" spans="1:7" x14ac:dyDescent="0.3">
      <c r="A320" s="7">
        <v>41043</v>
      </c>
      <c r="B320" s="7" t="s">
        <v>21</v>
      </c>
      <c r="C320" s="7" t="s">
        <v>533</v>
      </c>
      <c r="D320" s="8">
        <v>132474</v>
      </c>
      <c r="E320" s="8">
        <v>34</v>
      </c>
      <c r="F320" s="9">
        <v>0.47</v>
      </c>
      <c r="G320" s="7"/>
    </row>
    <row r="321" spans="1:7" x14ac:dyDescent="0.3">
      <c r="A321" s="7">
        <v>26093</v>
      </c>
      <c r="B321" s="7" t="s">
        <v>480</v>
      </c>
      <c r="C321" s="7" t="s">
        <v>895</v>
      </c>
      <c r="D321" s="8">
        <v>196976</v>
      </c>
      <c r="E321" s="8">
        <v>12</v>
      </c>
      <c r="F321" s="9">
        <v>0.16</v>
      </c>
      <c r="G321" s="7"/>
    </row>
    <row r="322" spans="1:7" x14ac:dyDescent="0.3">
      <c r="A322" s="7">
        <v>22063</v>
      </c>
      <c r="B322" s="7" t="s">
        <v>24</v>
      </c>
      <c r="C322" s="7" t="s">
        <v>527</v>
      </c>
      <c r="D322" s="8">
        <v>152886</v>
      </c>
      <c r="E322" s="8">
        <v>40</v>
      </c>
      <c r="F322" s="9">
        <v>0</v>
      </c>
      <c r="G322" s="7"/>
    </row>
    <row r="323" spans="1:7" x14ac:dyDescent="0.3">
      <c r="A323" s="7">
        <v>39093</v>
      </c>
      <c r="B323" s="7" t="s">
        <v>447</v>
      </c>
      <c r="C323" s="7" t="s">
        <v>561</v>
      </c>
      <c r="D323" s="8">
        <v>322030</v>
      </c>
      <c r="E323" s="8">
        <v>76</v>
      </c>
      <c r="F323" s="9">
        <v>0.03</v>
      </c>
      <c r="G323" s="7"/>
    </row>
    <row r="324" spans="1:7" x14ac:dyDescent="0.3">
      <c r="A324" s="7">
        <v>6037</v>
      </c>
      <c r="B324" s="7" t="s">
        <v>15</v>
      </c>
      <c r="C324" s="7" t="s">
        <v>964</v>
      </c>
      <c r="D324" s="8">
        <v>9757179</v>
      </c>
      <c r="E324" s="8"/>
      <c r="F324" s="9">
        <v>0.28000000000000003</v>
      </c>
      <c r="G324" s="7"/>
    </row>
    <row r="325" spans="1:7" x14ac:dyDescent="0.3">
      <c r="A325" s="7">
        <v>51107</v>
      </c>
      <c r="B325" s="7" t="s">
        <v>239</v>
      </c>
      <c r="C325" s="7" t="s">
        <v>899</v>
      </c>
      <c r="D325" s="8">
        <v>443380</v>
      </c>
      <c r="E325" s="8">
        <v>22</v>
      </c>
      <c r="F325" s="9">
        <v>0.05</v>
      </c>
      <c r="G325" s="7"/>
    </row>
    <row r="326" spans="1:7" x14ac:dyDescent="0.3">
      <c r="A326" s="7">
        <v>9130</v>
      </c>
      <c r="B326" s="7" t="s">
        <v>907</v>
      </c>
      <c r="C326" s="7" t="s">
        <v>965</v>
      </c>
      <c r="D326" s="8">
        <v>177540</v>
      </c>
      <c r="E326" s="8"/>
      <c r="F326" s="9"/>
      <c r="G326" s="7"/>
    </row>
    <row r="327" spans="1:7" x14ac:dyDescent="0.3">
      <c r="A327" s="7">
        <v>13185</v>
      </c>
      <c r="B327" s="7" t="s">
        <v>469</v>
      </c>
      <c r="C327" s="7" t="s">
        <v>820</v>
      </c>
      <c r="D327" s="8">
        <v>122082</v>
      </c>
      <c r="E327" s="8">
        <v>14</v>
      </c>
      <c r="F327" s="9">
        <v>0.6</v>
      </c>
      <c r="G327" s="7"/>
    </row>
    <row r="328" spans="1:7" x14ac:dyDescent="0.3">
      <c r="A328" s="7">
        <v>48303</v>
      </c>
      <c r="B328" s="7" t="s">
        <v>604</v>
      </c>
      <c r="C328" s="7" t="s">
        <v>801</v>
      </c>
      <c r="D328" s="8">
        <v>327394</v>
      </c>
      <c r="E328" s="8">
        <v>41</v>
      </c>
      <c r="F328" s="9">
        <v>0.03</v>
      </c>
      <c r="G328" s="7" t="s">
        <v>961</v>
      </c>
    </row>
    <row r="329" spans="1:7" x14ac:dyDescent="0.3">
      <c r="A329" s="7">
        <v>39095</v>
      </c>
      <c r="B329" s="7" t="s">
        <v>447</v>
      </c>
      <c r="C329" s="7" t="s">
        <v>485</v>
      </c>
      <c r="D329" s="8">
        <v>426291</v>
      </c>
      <c r="E329" s="8">
        <v>128</v>
      </c>
      <c r="F329" s="9">
        <v>0.08</v>
      </c>
      <c r="G329" s="7" t="s">
        <v>961</v>
      </c>
    </row>
    <row r="330" spans="1:7" x14ac:dyDescent="0.3">
      <c r="A330" s="7">
        <v>42079</v>
      </c>
      <c r="B330" s="7" t="s">
        <v>19</v>
      </c>
      <c r="C330" s="7" t="s">
        <v>614</v>
      </c>
      <c r="D330" s="8">
        <v>331379</v>
      </c>
      <c r="E330" s="8">
        <v>70</v>
      </c>
      <c r="F330" s="9">
        <v>0.03</v>
      </c>
      <c r="G330" s="7" t="s">
        <v>961</v>
      </c>
    </row>
    <row r="331" spans="1:7" x14ac:dyDescent="0.3">
      <c r="A331" s="7">
        <v>42081</v>
      </c>
      <c r="B331" s="7" t="s">
        <v>19</v>
      </c>
      <c r="C331" s="7" t="s">
        <v>840</v>
      </c>
      <c r="D331" s="8">
        <v>113236</v>
      </c>
      <c r="E331" s="8">
        <v>12</v>
      </c>
      <c r="F331" s="9">
        <v>0</v>
      </c>
      <c r="G331" s="7" t="s">
        <v>961</v>
      </c>
    </row>
    <row r="332" spans="1:7" x14ac:dyDescent="0.3">
      <c r="A332" s="7">
        <v>26099</v>
      </c>
      <c r="B332" s="7" t="s">
        <v>480</v>
      </c>
      <c r="C332" s="7" t="s">
        <v>697</v>
      </c>
      <c r="D332" s="8">
        <v>886175</v>
      </c>
      <c r="E332" s="8">
        <v>148</v>
      </c>
      <c r="F332" s="9">
        <v>0.34</v>
      </c>
      <c r="G332" s="7" t="s">
        <v>961</v>
      </c>
    </row>
    <row r="333" spans="1:7" x14ac:dyDescent="0.3">
      <c r="A333" s="7">
        <v>17115</v>
      </c>
      <c r="B333" s="7" t="s">
        <v>262</v>
      </c>
      <c r="C333" s="7" t="s">
        <v>578</v>
      </c>
      <c r="D333" s="8">
        <v>100737</v>
      </c>
      <c r="E333" s="8">
        <v>23</v>
      </c>
      <c r="F333" s="9">
        <v>0</v>
      </c>
      <c r="G333" s="7"/>
    </row>
    <row r="334" spans="1:7" x14ac:dyDescent="0.3">
      <c r="A334" s="7">
        <v>6039</v>
      </c>
      <c r="B334" s="7" t="s">
        <v>15</v>
      </c>
      <c r="C334" s="7" t="s">
        <v>848</v>
      </c>
      <c r="D334" s="8">
        <v>165432</v>
      </c>
      <c r="E334" s="8">
        <v>17</v>
      </c>
      <c r="F334" s="9">
        <v>0.93</v>
      </c>
      <c r="G334" s="7" t="s">
        <v>961</v>
      </c>
    </row>
    <row r="335" spans="1:7" x14ac:dyDescent="0.3">
      <c r="A335" s="7">
        <v>28089</v>
      </c>
      <c r="B335" s="7" t="s">
        <v>257</v>
      </c>
      <c r="C335" s="7" t="s">
        <v>260</v>
      </c>
      <c r="D335" s="8">
        <v>114247</v>
      </c>
      <c r="E335" s="8">
        <v>12</v>
      </c>
      <c r="F335" s="9">
        <v>0</v>
      </c>
      <c r="G335" s="7"/>
    </row>
    <row r="336" spans="1:7" x14ac:dyDescent="0.3">
      <c r="A336" s="7">
        <v>18095</v>
      </c>
      <c r="B336" s="7" t="s">
        <v>35</v>
      </c>
      <c r="C336" s="7" t="s">
        <v>260</v>
      </c>
      <c r="D336" s="8">
        <v>134222</v>
      </c>
      <c r="E336" s="8">
        <v>51</v>
      </c>
      <c r="F336" s="9">
        <v>0</v>
      </c>
      <c r="G336" s="7" t="s">
        <v>961</v>
      </c>
    </row>
    <row r="337" spans="1:7" x14ac:dyDescent="0.3">
      <c r="A337" s="7">
        <v>1089</v>
      </c>
      <c r="B337" s="7" t="s">
        <v>463</v>
      </c>
      <c r="C337" s="7" t="s">
        <v>260</v>
      </c>
      <c r="D337" s="8">
        <v>423355</v>
      </c>
      <c r="E337" s="8">
        <v>51</v>
      </c>
      <c r="F337" s="9">
        <v>0.15</v>
      </c>
      <c r="G337" s="7" t="s">
        <v>961</v>
      </c>
    </row>
    <row r="338" spans="1:7" x14ac:dyDescent="0.3">
      <c r="A338" s="7">
        <v>17119</v>
      </c>
      <c r="B338" s="7" t="s">
        <v>262</v>
      </c>
      <c r="C338" s="7" t="s">
        <v>260</v>
      </c>
      <c r="D338" s="8">
        <v>263017</v>
      </c>
      <c r="E338" s="8">
        <v>57</v>
      </c>
      <c r="F338" s="9">
        <v>0.3</v>
      </c>
      <c r="G338" s="7" t="s">
        <v>961</v>
      </c>
    </row>
    <row r="339" spans="1:7" x14ac:dyDescent="0.3">
      <c r="A339" s="7">
        <v>47113</v>
      </c>
      <c r="B339" s="7" t="s">
        <v>27</v>
      </c>
      <c r="C339" s="7" t="s">
        <v>260</v>
      </c>
      <c r="D339" s="8">
        <v>100409</v>
      </c>
      <c r="E339" s="8">
        <v>15</v>
      </c>
      <c r="F339" s="9">
        <v>0</v>
      </c>
      <c r="G339" s="7" t="s">
        <v>961</v>
      </c>
    </row>
    <row r="340" spans="1:7" x14ac:dyDescent="0.3">
      <c r="A340" s="7">
        <v>39099</v>
      </c>
      <c r="B340" s="7" t="s">
        <v>447</v>
      </c>
      <c r="C340" s="7" t="s">
        <v>478</v>
      </c>
      <c r="D340" s="8">
        <v>225786</v>
      </c>
      <c r="E340" s="8">
        <v>70</v>
      </c>
      <c r="F340" s="9">
        <v>0.06</v>
      </c>
      <c r="G340" s="7"/>
    </row>
    <row r="341" spans="1:7" x14ac:dyDescent="0.3">
      <c r="A341" s="7">
        <v>12081</v>
      </c>
      <c r="B341" s="7" t="s">
        <v>50</v>
      </c>
      <c r="C341" s="7" t="s">
        <v>819</v>
      </c>
      <c r="D341" s="8">
        <v>458352</v>
      </c>
      <c r="E341" s="8">
        <v>53</v>
      </c>
      <c r="F341" s="9">
        <v>0.02</v>
      </c>
      <c r="G341" s="7" t="s">
        <v>961</v>
      </c>
    </row>
    <row r="342" spans="1:7" x14ac:dyDescent="0.3">
      <c r="A342" s="7">
        <v>55073</v>
      </c>
      <c r="B342" s="7" t="s">
        <v>38</v>
      </c>
      <c r="C342" s="7" t="s">
        <v>807</v>
      </c>
      <c r="D342" s="8">
        <v>139091</v>
      </c>
      <c r="E342" s="8">
        <v>17</v>
      </c>
      <c r="F342" s="9">
        <v>7.0000000000000007E-2</v>
      </c>
      <c r="G342" s="7"/>
    </row>
    <row r="343" spans="1:7" x14ac:dyDescent="0.3">
      <c r="A343" s="7">
        <v>4013</v>
      </c>
      <c r="B343" s="7" t="s">
        <v>43</v>
      </c>
      <c r="C343" s="7" t="s">
        <v>966</v>
      </c>
      <c r="D343" s="8">
        <v>4673096</v>
      </c>
      <c r="E343" s="8"/>
      <c r="F343" s="9">
        <v>0.14000000000000001</v>
      </c>
      <c r="G343" s="7"/>
    </row>
    <row r="344" spans="1:7" x14ac:dyDescent="0.3">
      <c r="A344" s="7">
        <v>6041</v>
      </c>
      <c r="B344" s="7" t="s">
        <v>15</v>
      </c>
      <c r="C344" s="7" t="s">
        <v>706</v>
      </c>
      <c r="D344" s="8">
        <v>256400</v>
      </c>
      <c r="E344" s="8">
        <v>42</v>
      </c>
      <c r="F344" s="9">
        <v>0.1</v>
      </c>
      <c r="G344" s="7" t="s">
        <v>961</v>
      </c>
    </row>
    <row r="345" spans="1:7" x14ac:dyDescent="0.3">
      <c r="A345" s="7">
        <v>18097</v>
      </c>
      <c r="B345" s="7" t="s">
        <v>35</v>
      </c>
      <c r="C345" s="7" t="s">
        <v>34</v>
      </c>
      <c r="D345" s="8">
        <v>981628</v>
      </c>
      <c r="E345" s="8">
        <v>385</v>
      </c>
      <c r="F345" s="9">
        <v>0</v>
      </c>
      <c r="G345" s="7" t="s">
        <v>961</v>
      </c>
    </row>
    <row r="346" spans="1:7" x14ac:dyDescent="0.3">
      <c r="A346" s="7">
        <v>12083</v>
      </c>
      <c r="B346" s="7" t="s">
        <v>50</v>
      </c>
      <c r="C346" s="7" t="s">
        <v>34</v>
      </c>
      <c r="D346" s="8">
        <v>428905</v>
      </c>
      <c r="E346" s="8">
        <v>118</v>
      </c>
      <c r="F346" s="9">
        <v>0.02</v>
      </c>
      <c r="G346" s="7"/>
    </row>
    <row r="347" spans="1:7" x14ac:dyDescent="0.3">
      <c r="A347" s="7">
        <v>41047</v>
      </c>
      <c r="B347" s="7" t="s">
        <v>21</v>
      </c>
      <c r="C347" s="7" t="s">
        <v>34</v>
      </c>
      <c r="D347" s="8">
        <v>352867</v>
      </c>
      <c r="E347" s="8">
        <v>67</v>
      </c>
      <c r="F347" s="9">
        <v>0.55000000000000004</v>
      </c>
      <c r="G347" s="7"/>
    </row>
    <row r="348" spans="1:7" x14ac:dyDescent="0.3">
      <c r="A348" s="7">
        <v>1095</v>
      </c>
      <c r="B348" s="7" t="s">
        <v>463</v>
      </c>
      <c r="C348" s="7" t="s">
        <v>680</v>
      </c>
      <c r="D348" s="8">
        <v>102156</v>
      </c>
      <c r="E348" s="8">
        <v>18</v>
      </c>
      <c r="F348" s="9">
        <v>1.35</v>
      </c>
      <c r="G348" s="7" t="s">
        <v>961</v>
      </c>
    </row>
    <row r="349" spans="1:7" x14ac:dyDescent="0.3">
      <c r="A349" s="7">
        <v>12085</v>
      </c>
      <c r="B349" s="7" t="s">
        <v>50</v>
      </c>
      <c r="C349" s="7" t="s">
        <v>754</v>
      </c>
      <c r="D349" s="8">
        <v>165666</v>
      </c>
      <c r="E349" s="8">
        <v>24</v>
      </c>
      <c r="F349" s="9">
        <v>0.05</v>
      </c>
      <c r="G349" s="7"/>
    </row>
    <row r="350" spans="1:7" x14ac:dyDescent="0.3">
      <c r="A350" s="7">
        <v>2170</v>
      </c>
      <c r="B350" s="7" t="s">
        <v>232</v>
      </c>
      <c r="C350" s="7" t="s">
        <v>271</v>
      </c>
      <c r="D350" s="8">
        <v>117613</v>
      </c>
      <c r="E350" s="8">
        <v>41</v>
      </c>
      <c r="F350" s="9">
        <v>0</v>
      </c>
      <c r="G350" s="7"/>
    </row>
    <row r="351" spans="1:7" x14ac:dyDescent="0.3">
      <c r="A351" s="7">
        <v>15009</v>
      </c>
      <c r="B351" s="7" t="s">
        <v>526</v>
      </c>
      <c r="C351" s="7" t="s">
        <v>525</v>
      </c>
      <c r="D351" s="8">
        <v>163688</v>
      </c>
      <c r="E351" s="8">
        <v>43</v>
      </c>
      <c r="F351" s="9">
        <v>0.15</v>
      </c>
      <c r="G351" s="7" t="s">
        <v>961</v>
      </c>
    </row>
    <row r="352" spans="1:7" x14ac:dyDescent="0.3">
      <c r="A352" s="7">
        <v>47119</v>
      </c>
      <c r="B352" s="7" t="s">
        <v>27</v>
      </c>
      <c r="C352" s="7" t="s">
        <v>546</v>
      </c>
      <c r="D352" s="8">
        <v>113411</v>
      </c>
      <c r="E352" s="8">
        <v>28</v>
      </c>
      <c r="F352" s="9">
        <v>0.09</v>
      </c>
      <c r="G352" s="7"/>
    </row>
    <row r="353" spans="1:7" x14ac:dyDescent="0.3">
      <c r="A353" s="7">
        <v>17111</v>
      </c>
      <c r="B353" s="7" t="s">
        <v>262</v>
      </c>
      <c r="C353" s="7" t="s">
        <v>781</v>
      </c>
      <c r="D353" s="8">
        <v>315959</v>
      </c>
      <c r="E353" s="8">
        <v>42</v>
      </c>
      <c r="F353" s="9">
        <v>0.08</v>
      </c>
      <c r="G353" s="7"/>
    </row>
    <row r="354" spans="1:7" x14ac:dyDescent="0.3">
      <c r="A354" s="7">
        <v>17113</v>
      </c>
      <c r="B354" s="7" t="s">
        <v>262</v>
      </c>
      <c r="C354" s="7" t="s">
        <v>796</v>
      </c>
      <c r="D354" s="8">
        <v>172069</v>
      </c>
      <c r="E354" s="8">
        <v>22</v>
      </c>
      <c r="F354" s="9">
        <v>0</v>
      </c>
      <c r="G354" s="7"/>
    </row>
    <row r="355" spans="1:7" x14ac:dyDescent="0.3">
      <c r="A355" s="7">
        <v>48309</v>
      </c>
      <c r="B355" s="7" t="s">
        <v>604</v>
      </c>
      <c r="C355" s="7" t="s">
        <v>839</v>
      </c>
      <c r="D355" s="8">
        <v>270358</v>
      </c>
      <c r="E355" s="8">
        <v>29</v>
      </c>
      <c r="F355" s="9">
        <v>0.09</v>
      </c>
      <c r="G355" s="7" t="s">
        <v>961</v>
      </c>
    </row>
    <row r="356" spans="1:7" x14ac:dyDescent="0.3">
      <c r="A356" s="7">
        <v>37119</v>
      </c>
      <c r="B356" s="7" t="s">
        <v>467</v>
      </c>
      <c r="C356" s="7" t="s">
        <v>666</v>
      </c>
      <c r="D356" s="8">
        <v>1206285</v>
      </c>
      <c r="E356" s="8">
        <v>219</v>
      </c>
      <c r="F356" s="9">
        <v>0.42</v>
      </c>
      <c r="G356" s="7" t="s">
        <v>961</v>
      </c>
    </row>
    <row r="357" spans="1:7" x14ac:dyDescent="0.3">
      <c r="A357" s="7">
        <v>39103</v>
      </c>
      <c r="B357" s="7" t="s">
        <v>447</v>
      </c>
      <c r="C357" s="7" t="s">
        <v>890</v>
      </c>
      <c r="D357" s="8">
        <v>184625</v>
      </c>
      <c r="E357" s="8">
        <v>13</v>
      </c>
      <c r="F357" s="9">
        <v>0</v>
      </c>
      <c r="G357" s="7" t="s">
        <v>961</v>
      </c>
    </row>
    <row r="358" spans="1:7" x14ac:dyDescent="0.3">
      <c r="A358" s="7">
        <v>6047</v>
      </c>
      <c r="B358" s="7" t="s">
        <v>15</v>
      </c>
      <c r="C358" s="7" t="s">
        <v>661</v>
      </c>
      <c r="D358" s="8">
        <v>296774</v>
      </c>
      <c r="E358" s="8">
        <v>55</v>
      </c>
      <c r="F358" s="9">
        <v>0.72</v>
      </c>
      <c r="G358" s="7" t="s">
        <v>961</v>
      </c>
    </row>
    <row r="359" spans="1:7" x14ac:dyDescent="0.3">
      <c r="A359" s="7">
        <v>34021</v>
      </c>
      <c r="B359" s="7" t="s">
        <v>237</v>
      </c>
      <c r="C359" s="7" t="s">
        <v>574</v>
      </c>
      <c r="D359" s="8">
        <v>392138</v>
      </c>
      <c r="E359" s="8">
        <v>90</v>
      </c>
      <c r="F359" s="9">
        <v>0.16</v>
      </c>
      <c r="G359" s="7" t="s">
        <v>961</v>
      </c>
    </row>
    <row r="360" spans="1:7" x14ac:dyDescent="0.3">
      <c r="A360" s="7">
        <v>42085</v>
      </c>
      <c r="B360" s="7" t="s">
        <v>19</v>
      </c>
      <c r="C360" s="7" t="s">
        <v>574</v>
      </c>
      <c r="D360" s="8">
        <v>108140</v>
      </c>
      <c r="E360" s="8">
        <v>15</v>
      </c>
      <c r="F360" s="9">
        <v>0.19</v>
      </c>
      <c r="G360" s="7" t="s">
        <v>961</v>
      </c>
    </row>
    <row r="361" spans="1:7" x14ac:dyDescent="0.3">
      <c r="A361" s="7">
        <v>33013</v>
      </c>
      <c r="B361" s="7" t="s">
        <v>590</v>
      </c>
      <c r="C361" s="7" t="s">
        <v>653</v>
      </c>
      <c r="D361" s="8">
        <v>157869</v>
      </c>
      <c r="E361" s="8">
        <v>30</v>
      </c>
      <c r="F361" s="9">
        <v>0.13</v>
      </c>
      <c r="G361" s="7" t="s">
        <v>961</v>
      </c>
    </row>
    <row r="362" spans="1:7" x14ac:dyDescent="0.3">
      <c r="A362" s="7">
        <v>8077</v>
      </c>
      <c r="B362" s="7" t="s">
        <v>17</v>
      </c>
      <c r="C362" s="7" t="s">
        <v>648</v>
      </c>
      <c r="D362" s="8">
        <v>161260</v>
      </c>
      <c r="E362" s="8">
        <v>31</v>
      </c>
      <c r="F362" s="9">
        <v>0.06</v>
      </c>
      <c r="G362" s="7"/>
    </row>
    <row r="363" spans="1:7" x14ac:dyDescent="0.3">
      <c r="A363" s="7">
        <v>39109</v>
      </c>
      <c r="B363" s="7" t="s">
        <v>447</v>
      </c>
      <c r="C363" s="7" t="s">
        <v>802</v>
      </c>
      <c r="D363" s="8">
        <v>111950</v>
      </c>
      <c r="E363" s="8">
        <v>14</v>
      </c>
      <c r="F363" s="9">
        <v>0.08</v>
      </c>
      <c r="G363" s="7"/>
    </row>
    <row r="364" spans="1:7" x14ac:dyDescent="0.3">
      <c r="A364" s="7">
        <v>12086</v>
      </c>
      <c r="B364" s="7" t="s">
        <v>50</v>
      </c>
      <c r="C364" s="7" t="s">
        <v>860</v>
      </c>
      <c r="D364" s="8">
        <v>2838461</v>
      </c>
      <c r="E364" s="8">
        <v>272</v>
      </c>
      <c r="F364" s="9">
        <v>0.22</v>
      </c>
      <c r="G364" s="7" t="s">
        <v>961</v>
      </c>
    </row>
    <row r="365" spans="1:7" x14ac:dyDescent="0.3">
      <c r="A365" s="7">
        <v>34023</v>
      </c>
      <c r="B365" s="7" t="s">
        <v>237</v>
      </c>
      <c r="C365" s="7" t="s">
        <v>806</v>
      </c>
      <c r="D365" s="8">
        <v>890119</v>
      </c>
      <c r="E365" s="8">
        <v>94</v>
      </c>
      <c r="F365" s="9">
        <v>0.08</v>
      </c>
      <c r="G365" s="7"/>
    </row>
    <row r="366" spans="1:7" x14ac:dyDescent="0.3">
      <c r="A366" s="7">
        <v>25017</v>
      </c>
      <c r="B366" s="7" t="s">
        <v>453</v>
      </c>
      <c r="C366" s="7" t="s">
        <v>806</v>
      </c>
      <c r="D366" s="8">
        <v>1668956</v>
      </c>
      <c r="E366" s="8">
        <v>205</v>
      </c>
      <c r="F366" s="9">
        <v>0.1</v>
      </c>
      <c r="G366" s="7"/>
    </row>
    <row r="367" spans="1:7" x14ac:dyDescent="0.3">
      <c r="A367" s="7">
        <v>48329</v>
      </c>
      <c r="B367" s="7" t="s">
        <v>604</v>
      </c>
      <c r="C367" s="7" t="s">
        <v>856</v>
      </c>
      <c r="D367" s="8">
        <v>183587</v>
      </c>
      <c r="E367" s="8">
        <v>18</v>
      </c>
      <c r="F367" s="9">
        <v>0.17</v>
      </c>
      <c r="G367" s="7" t="s">
        <v>961</v>
      </c>
    </row>
    <row r="368" spans="1:7" x14ac:dyDescent="0.3">
      <c r="A368" s="7">
        <v>55079</v>
      </c>
      <c r="B368" s="7" t="s">
        <v>38</v>
      </c>
      <c r="C368" s="7" t="s">
        <v>37</v>
      </c>
      <c r="D368" s="8">
        <v>924740</v>
      </c>
      <c r="E368" s="8">
        <v>340</v>
      </c>
      <c r="F368" s="9">
        <v>0.19</v>
      </c>
      <c r="G368" s="7"/>
    </row>
    <row r="369" spans="1:7" x14ac:dyDescent="0.3">
      <c r="A369" s="7">
        <v>46099</v>
      </c>
      <c r="B369" s="7" t="s">
        <v>712</v>
      </c>
      <c r="C369" s="7" t="s">
        <v>711</v>
      </c>
      <c r="D369" s="8">
        <v>208639</v>
      </c>
      <c r="E369" s="8">
        <v>34</v>
      </c>
      <c r="F369" s="9">
        <v>0</v>
      </c>
      <c r="G369" s="7" t="s">
        <v>961</v>
      </c>
    </row>
    <row r="370" spans="1:7" x14ac:dyDescent="0.3">
      <c r="A370" s="7">
        <v>30063</v>
      </c>
      <c r="B370" s="7" t="s">
        <v>623</v>
      </c>
      <c r="C370" s="7" t="s">
        <v>768</v>
      </c>
      <c r="D370" s="8">
        <v>122546</v>
      </c>
      <c r="E370" s="8">
        <v>17</v>
      </c>
      <c r="F370" s="9">
        <v>0</v>
      </c>
      <c r="G370" s="7"/>
    </row>
    <row r="371" spans="1:7" x14ac:dyDescent="0.3">
      <c r="A371" s="7">
        <v>1097</v>
      </c>
      <c r="B371" s="7" t="s">
        <v>463</v>
      </c>
      <c r="C371" s="7" t="s">
        <v>591</v>
      </c>
      <c r="D371" s="8">
        <v>412339</v>
      </c>
      <c r="E371" s="8">
        <v>92</v>
      </c>
      <c r="F371" s="9">
        <v>0.1</v>
      </c>
      <c r="G371" s="7"/>
    </row>
    <row r="372" spans="1:7" x14ac:dyDescent="0.3">
      <c r="A372" s="7">
        <v>4015</v>
      </c>
      <c r="B372" s="7" t="s">
        <v>43</v>
      </c>
      <c r="C372" s="7" t="s">
        <v>235</v>
      </c>
      <c r="D372" s="8">
        <v>226479</v>
      </c>
      <c r="E372" s="8">
        <v>107</v>
      </c>
      <c r="F372" s="9">
        <v>0.15</v>
      </c>
      <c r="G372" s="7" t="s">
        <v>961</v>
      </c>
    </row>
    <row r="373" spans="1:7" x14ac:dyDescent="0.3">
      <c r="A373" s="7">
        <v>34025</v>
      </c>
      <c r="B373" s="7" t="s">
        <v>237</v>
      </c>
      <c r="C373" s="7" t="s">
        <v>753</v>
      </c>
      <c r="D373" s="8">
        <v>647520</v>
      </c>
      <c r="E373" s="8">
        <v>94</v>
      </c>
      <c r="F373" s="9">
        <v>0.03</v>
      </c>
      <c r="G373" s="7"/>
    </row>
    <row r="374" spans="1:7" x14ac:dyDescent="0.3">
      <c r="A374" s="7">
        <v>54061</v>
      </c>
      <c r="B374" s="7" t="s">
        <v>253</v>
      </c>
      <c r="C374" s="7" t="s">
        <v>594</v>
      </c>
      <c r="D374" s="8">
        <v>108697</v>
      </c>
      <c r="E374" s="8">
        <v>24</v>
      </c>
      <c r="F374" s="9">
        <v>0.12</v>
      </c>
      <c r="G374" s="7" t="s">
        <v>961</v>
      </c>
    </row>
    <row r="375" spans="1:7" x14ac:dyDescent="0.3">
      <c r="A375" s="7">
        <v>18105</v>
      </c>
      <c r="B375" s="7" t="s">
        <v>35</v>
      </c>
      <c r="C375" s="7" t="s">
        <v>487</v>
      </c>
      <c r="D375" s="8">
        <v>140702</v>
      </c>
      <c r="E375" s="8">
        <v>42</v>
      </c>
      <c r="F375" s="9">
        <v>0.09</v>
      </c>
      <c r="G375" s="7"/>
    </row>
    <row r="376" spans="1:7" x14ac:dyDescent="0.3">
      <c r="A376" s="7">
        <v>36055</v>
      </c>
      <c r="B376" s="7" t="s">
        <v>32</v>
      </c>
      <c r="C376" s="7" t="s">
        <v>487</v>
      </c>
      <c r="D376" s="8">
        <v>752202</v>
      </c>
      <c r="E376" s="8">
        <v>144</v>
      </c>
      <c r="F376" s="9">
        <v>1.85</v>
      </c>
      <c r="G376" s="7"/>
    </row>
    <row r="377" spans="1:7" x14ac:dyDescent="0.3">
      <c r="A377" s="7">
        <v>26115</v>
      </c>
      <c r="B377" s="7" t="s">
        <v>480</v>
      </c>
      <c r="C377" s="7" t="s">
        <v>487</v>
      </c>
      <c r="D377" s="8">
        <v>156045</v>
      </c>
      <c r="E377" s="8">
        <v>20</v>
      </c>
      <c r="F377" s="9">
        <v>0.44</v>
      </c>
      <c r="G377" s="7" t="s">
        <v>961</v>
      </c>
    </row>
    <row r="378" spans="1:7" x14ac:dyDescent="0.3">
      <c r="A378" s="7">
        <v>42089</v>
      </c>
      <c r="B378" s="7" t="s">
        <v>19</v>
      </c>
      <c r="C378" s="7" t="s">
        <v>487</v>
      </c>
      <c r="D378" s="8">
        <v>166523</v>
      </c>
      <c r="E378" s="8">
        <v>24</v>
      </c>
      <c r="F378" s="9">
        <v>0.32</v>
      </c>
      <c r="G378" s="7"/>
    </row>
    <row r="379" spans="1:7" x14ac:dyDescent="0.3">
      <c r="A379" s="7">
        <v>6053</v>
      </c>
      <c r="B379" s="7" t="s">
        <v>15</v>
      </c>
      <c r="C379" s="7" t="s">
        <v>537</v>
      </c>
      <c r="D379" s="8">
        <v>436251</v>
      </c>
      <c r="E379" s="8">
        <v>110</v>
      </c>
      <c r="F379" s="9">
        <v>0.04</v>
      </c>
      <c r="G379" s="7" t="s">
        <v>961</v>
      </c>
    </row>
    <row r="380" spans="1:7" x14ac:dyDescent="0.3">
      <c r="A380" s="7">
        <v>1101</v>
      </c>
      <c r="B380" s="7" t="s">
        <v>463</v>
      </c>
      <c r="C380" s="7" t="s">
        <v>502</v>
      </c>
      <c r="D380" s="8">
        <v>225894</v>
      </c>
      <c r="E380" s="8">
        <v>22</v>
      </c>
      <c r="F380" s="9">
        <v>0.13</v>
      </c>
      <c r="G380" s="7"/>
    </row>
    <row r="381" spans="1:7" x14ac:dyDescent="0.3">
      <c r="A381" s="7">
        <v>39113</v>
      </c>
      <c r="B381" s="7" t="s">
        <v>447</v>
      </c>
      <c r="C381" s="7" t="s">
        <v>502</v>
      </c>
      <c r="D381" s="8">
        <v>537443</v>
      </c>
      <c r="E381" s="8">
        <v>149</v>
      </c>
      <c r="F381" s="9">
        <v>0.09</v>
      </c>
      <c r="G381" s="7"/>
    </row>
    <row r="382" spans="1:7" x14ac:dyDescent="0.3">
      <c r="A382" s="7">
        <v>48339</v>
      </c>
      <c r="B382" s="7" t="s">
        <v>604</v>
      </c>
      <c r="C382" s="7" t="s">
        <v>502</v>
      </c>
      <c r="D382" s="8">
        <v>749613</v>
      </c>
      <c r="E382" s="8">
        <v>90</v>
      </c>
      <c r="F382" s="9">
        <v>0.28999999999999998</v>
      </c>
      <c r="G382" s="7" t="s">
        <v>961</v>
      </c>
    </row>
    <row r="383" spans="1:7" x14ac:dyDescent="0.3">
      <c r="A383" s="7">
        <v>47125</v>
      </c>
      <c r="B383" s="7" t="s">
        <v>27</v>
      </c>
      <c r="C383" s="7" t="s">
        <v>502</v>
      </c>
      <c r="D383" s="8">
        <v>246025</v>
      </c>
      <c r="E383" s="8">
        <v>49</v>
      </c>
      <c r="F383" s="9">
        <v>0.12</v>
      </c>
      <c r="G383" s="7"/>
    </row>
    <row r="384" spans="1:7" x14ac:dyDescent="0.3">
      <c r="A384" s="7">
        <v>42091</v>
      </c>
      <c r="B384" s="7" t="s">
        <v>19</v>
      </c>
      <c r="C384" s="7" t="s">
        <v>502</v>
      </c>
      <c r="D384" s="8">
        <v>879190</v>
      </c>
      <c r="E384" s="8">
        <v>137</v>
      </c>
      <c r="F384" s="9">
        <v>0.04</v>
      </c>
      <c r="G384" s="7"/>
    </row>
    <row r="385" spans="1:7" x14ac:dyDescent="0.3">
      <c r="A385" s="7">
        <v>24031</v>
      </c>
      <c r="B385" s="7" t="s">
        <v>11</v>
      </c>
      <c r="C385" s="7" t="s">
        <v>502</v>
      </c>
      <c r="D385" s="8">
        <v>1082273</v>
      </c>
      <c r="E385" s="8">
        <v>91</v>
      </c>
      <c r="F385" s="9">
        <v>7.0000000000000007E-2</v>
      </c>
      <c r="G385" s="7"/>
    </row>
    <row r="386" spans="1:7" x14ac:dyDescent="0.3">
      <c r="A386" s="7">
        <v>37125</v>
      </c>
      <c r="B386" s="7" t="s">
        <v>467</v>
      </c>
      <c r="C386" s="7" t="s">
        <v>743</v>
      </c>
      <c r="D386" s="8">
        <v>108417</v>
      </c>
      <c r="E386" s="8">
        <v>16</v>
      </c>
      <c r="F386" s="9">
        <v>1.1100000000000001</v>
      </c>
      <c r="G386" s="7" t="s">
        <v>961</v>
      </c>
    </row>
    <row r="387" spans="1:7" x14ac:dyDescent="0.3">
      <c r="A387" s="7">
        <v>1103</v>
      </c>
      <c r="B387" s="7" t="s">
        <v>463</v>
      </c>
      <c r="C387" s="7" t="s">
        <v>798</v>
      </c>
      <c r="D387" s="8">
        <v>126084</v>
      </c>
      <c r="E387" s="8">
        <v>16</v>
      </c>
      <c r="F387" s="9">
        <v>0.2</v>
      </c>
      <c r="G387" s="7"/>
    </row>
    <row r="388" spans="1:7" x14ac:dyDescent="0.3">
      <c r="A388" s="7">
        <v>34027</v>
      </c>
      <c r="B388" s="7" t="s">
        <v>237</v>
      </c>
      <c r="C388" s="7" t="s">
        <v>881</v>
      </c>
      <c r="D388" s="8">
        <v>523053</v>
      </c>
      <c r="E388" s="8">
        <v>45</v>
      </c>
      <c r="F388" s="9">
        <v>7.0000000000000007E-2</v>
      </c>
      <c r="G388" s="7"/>
    </row>
    <row r="389" spans="1:7" x14ac:dyDescent="0.3">
      <c r="A389" s="7">
        <v>41051</v>
      </c>
      <c r="B389" s="7" t="s">
        <v>21</v>
      </c>
      <c r="C389" s="7" t="s">
        <v>20</v>
      </c>
      <c r="D389" s="8">
        <v>795897</v>
      </c>
      <c r="E389" s="8">
        <v>423</v>
      </c>
      <c r="F389" s="9">
        <v>1.87</v>
      </c>
      <c r="G389" s="7" t="s">
        <v>961</v>
      </c>
    </row>
    <row r="390" spans="1:7" x14ac:dyDescent="0.3">
      <c r="A390" s="7">
        <v>13215</v>
      </c>
      <c r="B390" s="7" t="s">
        <v>469</v>
      </c>
      <c r="C390" s="7" t="s">
        <v>867</v>
      </c>
      <c r="D390" s="8">
        <v>201830</v>
      </c>
      <c r="E390" s="8">
        <v>19</v>
      </c>
      <c r="F390" s="9">
        <v>0.43</v>
      </c>
      <c r="G390" s="7" t="s">
        <v>961</v>
      </c>
    </row>
    <row r="391" spans="1:7" x14ac:dyDescent="0.3">
      <c r="A391" s="7">
        <v>26121</v>
      </c>
      <c r="B391" s="7" t="s">
        <v>480</v>
      </c>
      <c r="C391" s="7" t="s">
        <v>585</v>
      </c>
      <c r="D391" s="8">
        <v>177428</v>
      </c>
      <c r="E391" s="8">
        <v>40</v>
      </c>
      <c r="F391" s="9">
        <v>0.26</v>
      </c>
      <c r="G391" s="7" t="s">
        <v>961</v>
      </c>
    </row>
    <row r="392" spans="1:7" x14ac:dyDescent="0.3">
      <c r="A392" s="7">
        <v>6055</v>
      </c>
      <c r="B392" s="7" t="s">
        <v>15</v>
      </c>
      <c r="C392" s="7" t="s">
        <v>872</v>
      </c>
      <c r="D392" s="8">
        <v>132727</v>
      </c>
      <c r="E392" s="8">
        <v>12</v>
      </c>
      <c r="F392" s="9">
        <v>0.08</v>
      </c>
      <c r="G392" s="7" t="s">
        <v>961</v>
      </c>
    </row>
    <row r="393" spans="1:7" x14ac:dyDescent="0.3">
      <c r="A393" s="7">
        <v>36059</v>
      </c>
      <c r="B393" s="7" t="s">
        <v>32</v>
      </c>
      <c r="C393" s="7" t="s">
        <v>553</v>
      </c>
      <c r="D393" s="8">
        <v>1392438</v>
      </c>
      <c r="E393" s="8">
        <v>112</v>
      </c>
      <c r="F393" s="9">
        <v>0.84</v>
      </c>
      <c r="G393" s="7" t="s">
        <v>961</v>
      </c>
    </row>
    <row r="394" spans="1:7" x14ac:dyDescent="0.3">
      <c r="A394" s="7">
        <v>12089</v>
      </c>
      <c r="B394" s="7" t="s">
        <v>50</v>
      </c>
      <c r="C394" s="7" t="s">
        <v>553</v>
      </c>
      <c r="D394" s="8">
        <v>104376</v>
      </c>
      <c r="E394" s="8">
        <v>25</v>
      </c>
      <c r="F394" s="9">
        <v>0.08</v>
      </c>
      <c r="G394" s="7"/>
    </row>
    <row r="395" spans="1:7" x14ac:dyDescent="0.3">
      <c r="A395" s="7">
        <v>9140</v>
      </c>
      <c r="B395" s="7" t="s">
        <v>907</v>
      </c>
      <c r="C395" s="7" t="s">
        <v>967</v>
      </c>
      <c r="D395" s="8">
        <v>462220</v>
      </c>
      <c r="E395" s="8"/>
      <c r="F395" s="9"/>
      <c r="G395" s="7"/>
    </row>
    <row r="396" spans="1:7" x14ac:dyDescent="0.3">
      <c r="A396" s="7">
        <v>4017</v>
      </c>
      <c r="B396" s="7" t="s">
        <v>43</v>
      </c>
      <c r="C396" s="7" t="s">
        <v>259</v>
      </c>
      <c r="D396" s="8">
        <v>109516</v>
      </c>
      <c r="E396" s="8">
        <v>42</v>
      </c>
      <c r="F396" s="9">
        <v>0.49</v>
      </c>
      <c r="G396" s="7" t="s">
        <v>961</v>
      </c>
    </row>
    <row r="397" spans="1:7" x14ac:dyDescent="0.3">
      <c r="A397" s="7">
        <v>6057</v>
      </c>
      <c r="B397" s="7" t="s">
        <v>15</v>
      </c>
      <c r="C397" s="7" t="s">
        <v>492</v>
      </c>
      <c r="D397" s="8">
        <v>102195</v>
      </c>
      <c r="E397" s="8">
        <v>30</v>
      </c>
      <c r="F397" s="9">
        <v>0.17</v>
      </c>
      <c r="G397" s="7"/>
    </row>
    <row r="398" spans="1:7" x14ac:dyDescent="0.3">
      <c r="A398" s="7">
        <v>10003</v>
      </c>
      <c r="B398" s="7" t="s">
        <v>47</v>
      </c>
      <c r="C398" s="7" t="s">
        <v>46</v>
      </c>
      <c r="D398" s="8">
        <v>588093</v>
      </c>
      <c r="E398" s="8">
        <v>208</v>
      </c>
      <c r="F398" s="9">
        <v>0.04</v>
      </c>
      <c r="G398" s="7" t="s">
        <v>961</v>
      </c>
    </row>
    <row r="399" spans="1:7" x14ac:dyDescent="0.3">
      <c r="A399" s="7">
        <v>37129</v>
      </c>
      <c r="B399" s="7" t="s">
        <v>467</v>
      </c>
      <c r="C399" s="7" t="s">
        <v>565</v>
      </c>
      <c r="D399" s="8">
        <v>243333</v>
      </c>
      <c r="E399" s="8">
        <v>57</v>
      </c>
      <c r="F399" s="9">
        <v>0.4</v>
      </c>
      <c r="G399" s="7" t="s">
        <v>961</v>
      </c>
    </row>
    <row r="400" spans="1:7" x14ac:dyDescent="0.3">
      <c r="A400" s="7">
        <v>36061</v>
      </c>
      <c r="B400" s="7" t="s">
        <v>32</v>
      </c>
      <c r="C400" s="7" t="s">
        <v>679</v>
      </c>
      <c r="D400" s="8">
        <v>1660664</v>
      </c>
      <c r="E400" s="8">
        <v>293</v>
      </c>
      <c r="F400" s="9">
        <v>0.61</v>
      </c>
      <c r="G400" s="7"/>
    </row>
    <row r="401" spans="1:7" x14ac:dyDescent="0.3">
      <c r="A401" s="7">
        <v>51700</v>
      </c>
      <c r="B401" s="7" t="s">
        <v>239</v>
      </c>
      <c r="C401" s="7" t="s">
        <v>669</v>
      </c>
      <c r="D401" s="8">
        <v>183056</v>
      </c>
      <c r="E401" s="8">
        <v>33</v>
      </c>
      <c r="F401" s="9">
        <v>0.12</v>
      </c>
      <c r="G401" s="7" t="s">
        <v>961</v>
      </c>
    </row>
    <row r="402" spans="1:7" x14ac:dyDescent="0.3">
      <c r="A402" s="7">
        <v>13217</v>
      </c>
      <c r="B402" s="7" t="s">
        <v>469</v>
      </c>
      <c r="C402" s="7" t="s">
        <v>713</v>
      </c>
      <c r="D402" s="8">
        <v>124010</v>
      </c>
      <c r="E402" s="8">
        <v>20</v>
      </c>
      <c r="F402" s="9">
        <v>0</v>
      </c>
      <c r="G402" s="7"/>
    </row>
    <row r="403" spans="1:7" x14ac:dyDescent="0.3">
      <c r="A403" s="7">
        <v>36063</v>
      </c>
      <c r="B403" s="7" t="s">
        <v>32</v>
      </c>
      <c r="C403" s="7" t="s">
        <v>598</v>
      </c>
      <c r="D403" s="8">
        <v>209570</v>
      </c>
      <c r="E403" s="8">
        <v>46</v>
      </c>
      <c r="F403" s="9">
        <v>0.16</v>
      </c>
      <c r="G403" s="7" t="s">
        <v>961</v>
      </c>
    </row>
    <row r="404" spans="1:7" x14ac:dyDescent="0.3">
      <c r="A404" s="7">
        <v>25021</v>
      </c>
      <c r="B404" s="7" t="s">
        <v>453</v>
      </c>
      <c r="C404" s="7" t="s">
        <v>787</v>
      </c>
      <c r="D404" s="8">
        <v>740754</v>
      </c>
      <c r="E404" s="8">
        <v>97</v>
      </c>
      <c r="F404" s="9">
        <v>0.09</v>
      </c>
      <c r="G404" s="7"/>
    </row>
    <row r="405" spans="1:7" x14ac:dyDescent="0.3">
      <c r="A405" s="7">
        <v>51710</v>
      </c>
      <c r="B405" s="7" t="s">
        <v>239</v>
      </c>
      <c r="C405" s="7" t="s">
        <v>652</v>
      </c>
      <c r="D405" s="8">
        <v>231105</v>
      </c>
      <c r="E405" s="8">
        <v>44</v>
      </c>
      <c r="F405" s="9">
        <v>0</v>
      </c>
      <c r="G405" s="7"/>
    </row>
    <row r="406" spans="1:7" x14ac:dyDescent="0.3">
      <c r="A406" s="7">
        <v>42095</v>
      </c>
      <c r="B406" s="7" t="s">
        <v>19</v>
      </c>
      <c r="C406" s="7" t="s">
        <v>751</v>
      </c>
      <c r="D406" s="8">
        <v>322989</v>
      </c>
      <c r="E406" s="8">
        <v>47</v>
      </c>
      <c r="F406" s="9">
        <v>0.25</v>
      </c>
      <c r="G406" s="7" t="s">
        <v>961</v>
      </c>
    </row>
    <row r="407" spans="1:7" x14ac:dyDescent="0.3">
      <c r="A407" s="7">
        <v>9160</v>
      </c>
      <c r="B407" s="7" t="s">
        <v>907</v>
      </c>
      <c r="C407" s="7" t="s">
        <v>968</v>
      </c>
      <c r="D407" s="8">
        <v>114101</v>
      </c>
      <c r="E407" s="8"/>
      <c r="F407" s="9"/>
      <c r="G407" s="7"/>
    </row>
    <row r="408" spans="1:7" x14ac:dyDescent="0.3">
      <c r="A408" s="7">
        <v>48355</v>
      </c>
      <c r="B408" s="7" t="s">
        <v>604</v>
      </c>
      <c r="C408" s="7" t="s">
        <v>647</v>
      </c>
      <c r="D408" s="8">
        <v>353125</v>
      </c>
      <c r="E408" s="8">
        <v>68</v>
      </c>
      <c r="F408" s="9">
        <v>0</v>
      </c>
      <c r="G408" s="7" t="s">
        <v>961</v>
      </c>
    </row>
    <row r="409" spans="1:7" x14ac:dyDescent="0.3">
      <c r="A409" s="7">
        <v>26125</v>
      </c>
      <c r="B409" s="7" t="s">
        <v>480</v>
      </c>
      <c r="C409" s="7" t="s">
        <v>828</v>
      </c>
      <c r="D409" s="8">
        <v>1296888</v>
      </c>
      <c r="E409" s="8">
        <v>145</v>
      </c>
      <c r="F409" s="9">
        <v>0.17</v>
      </c>
      <c r="G409" s="7"/>
    </row>
    <row r="410" spans="1:7" x14ac:dyDescent="0.3">
      <c r="A410" s="7">
        <v>34029</v>
      </c>
      <c r="B410" s="7" t="s">
        <v>237</v>
      </c>
      <c r="C410" s="7" t="s">
        <v>646</v>
      </c>
      <c r="D410" s="8">
        <v>666434</v>
      </c>
      <c r="E410" s="8">
        <v>129</v>
      </c>
      <c r="F410" s="9">
        <v>7.0000000000000007E-2</v>
      </c>
      <c r="G410" s="7" t="s">
        <v>961</v>
      </c>
    </row>
    <row r="411" spans="1:7" x14ac:dyDescent="0.3">
      <c r="A411" s="7">
        <v>12091</v>
      </c>
      <c r="B411" s="7" t="s">
        <v>50</v>
      </c>
      <c r="C411" s="7" t="s">
        <v>562</v>
      </c>
      <c r="D411" s="8">
        <v>220483</v>
      </c>
      <c r="E411" s="8">
        <v>52</v>
      </c>
      <c r="F411" s="9">
        <v>1.0900000000000001</v>
      </c>
      <c r="G411" s="7" t="s">
        <v>961</v>
      </c>
    </row>
    <row r="412" spans="1:7" x14ac:dyDescent="0.3">
      <c r="A412" s="7">
        <v>40109</v>
      </c>
      <c r="B412" s="7" t="s">
        <v>490</v>
      </c>
      <c r="C412" s="7" t="s">
        <v>522</v>
      </c>
      <c r="D412" s="8">
        <v>816490</v>
      </c>
      <c r="E412" s="8">
        <v>217</v>
      </c>
      <c r="F412" s="9">
        <v>0.08</v>
      </c>
      <c r="G412" s="7" t="s">
        <v>961</v>
      </c>
    </row>
    <row r="413" spans="1:7" x14ac:dyDescent="0.3">
      <c r="A413" s="7">
        <v>27109</v>
      </c>
      <c r="B413" s="7" t="s">
        <v>475</v>
      </c>
      <c r="C413" s="7" t="s">
        <v>634</v>
      </c>
      <c r="D413" s="8">
        <v>166424</v>
      </c>
      <c r="E413" s="8">
        <v>33</v>
      </c>
      <c r="F413" s="9">
        <v>0</v>
      </c>
      <c r="G413" s="7"/>
    </row>
    <row r="414" spans="1:7" x14ac:dyDescent="0.3">
      <c r="A414" s="7">
        <v>36065</v>
      </c>
      <c r="B414" s="7" t="s">
        <v>32</v>
      </c>
      <c r="C414" s="7" t="s">
        <v>783</v>
      </c>
      <c r="D414" s="8">
        <v>228347</v>
      </c>
      <c r="E414" s="8">
        <v>30</v>
      </c>
      <c r="F414" s="9">
        <v>0.47</v>
      </c>
      <c r="G414" s="7"/>
    </row>
    <row r="415" spans="1:7" x14ac:dyDescent="0.3">
      <c r="A415" s="7">
        <v>36067</v>
      </c>
      <c r="B415" s="7" t="s">
        <v>32</v>
      </c>
      <c r="C415" s="7" t="s">
        <v>693</v>
      </c>
      <c r="D415" s="8">
        <v>469812</v>
      </c>
      <c r="E415" s="8">
        <v>79</v>
      </c>
      <c r="F415" s="9">
        <v>0.63</v>
      </c>
      <c r="G415" s="7"/>
    </row>
    <row r="416" spans="1:7" x14ac:dyDescent="0.3">
      <c r="A416" s="7">
        <v>37133</v>
      </c>
      <c r="B416" s="7" t="s">
        <v>467</v>
      </c>
      <c r="C416" s="7" t="s">
        <v>573</v>
      </c>
      <c r="D416" s="8">
        <v>212954</v>
      </c>
      <c r="E416" s="8">
        <v>49</v>
      </c>
      <c r="F416" s="9">
        <v>0.39</v>
      </c>
      <c r="G416" s="7" t="s">
        <v>961</v>
      </c>
    </row>
    <row r="417" spans="1:7" x14ac:dyDescent="0.3">
      <c r="A417" s="7">
        <v>36069</v>
      </c>
      <c r="B417" s="7" t="s">
        <v>32</v>
      </c>
      <c r="C417" s="7" t="s">
        <v>858</v>
      </c>
      <c r="D417" s="8">
        <v>113012</v>
      </c>
      <c r="E417" s="8">
        <v>11</v>
      </c>
      <c r="F417" s="9">
        <v>0.6</v>
      </c>
      <c r="G417" s="7" t="s">
        <v>961</v>
      </c>
    </row>
    <row r="418" spans="1:7" x14ac:dyDescent="0.3">
      <c r="A418" s="7">
        <v>6059</v>
      </c>
      <c r="B418" s="7" t="s">
        <v>15</v>
      </c>
      <c r="C418" s="7" t="s">
        <v>736</v>
      </c>
      <c r="D418" s="8">
        <v>3170435</v>
      </c>
      <c r="E418" s="8">
        <v>472</v>
      </c>
      <c r="F418" s="9">
        <v>0.22</v>
      </c>
      <c r="G418" s="7" t="s">
        <v>961</v>
      </c>
    </row>
    <row r="419" spans="1:7" x14ac:dyDescent="0.3">
      <c r="A419" s="7">
        <v>36071</v>
      </c>
      <c r="B419" s="7" t="s">
        <v>32</v>
      </c>
      <c r="C419" s="7" t="s">
        <v>736</v>
      </c>
      <c r="D419" s="8">
        <v>411767</v>
      </c>
      <c r="E419" s="8">
        <v>62</v>
      </c>
      <c r="F419" s="9">
        <v>0.31</v>
      </c>
      <c r="G419" s="7"/>
    </row>
    <row r="420" spans="1:7" x14ac:dyDescent="0.3">
      <c r="A420" s="7">
        <v>37135</v>
      </c>
      <c r="B420" s="7" t="s">
        <v>467</v>
      </c>
      <c r="C420" s="7" t="s">
        <v>736</v>
      </c>
      <c r="D420" s="8">
        <v>152877</v>
      </c>
      <c r="E420" s="8">
        <v>12</v>
      </c>
      <c r="F420" s="9">
        <v>1.17</v>
      </c>
      <c r="G420" s="7" t="s">
        <v>961</v>
      </c>
    </row>
    <row r="421" spans="1:7" x14ac:dyDescent="0.3">
      <c r="A421" s="7">
        <v>12095</v>
      </c>
      <c r="B421" s="7" t="s">
        <v>50</v>
      </c>
      <c r="C421" s="7" t="s">
        <v>736</v>
      </c>
      <c r="D421" s="8">
        <v>1533646</v>
      </c>
      <c r="E421" s="8">
        <v>205</v>
      </c>
      <c r="F421" s="9">
        <v>0.05</v>
      </c>
      <c r="G421" s="7"/>
    </row>
    <row r="422" spans="1:7" x14ac:dyDescent="0.3">
      <c r="A422" s="7">
        <v>22071</v>
      </c>
      <c r="B422" s="7" t="s">
        <v>24</v>
      </c>
      <c r="C422" s="7" t="s">
        <v>23</v>
      </c>
      <c r="D422" s="8">
        <v>362701</v>
      </c>
      <c r="E422" s="8">
        <v>176</v>
      </c>
      <c r="F422" s="9">
        <v>0.03</v>
      </c>
      <c r="G422" s="7" t="s">
        <v>961</v>
      </c>
    </row>
    <row r="423" spans="1:7" x14ac:dyDescent="0.3">
      <c r="A423" s="7">
        <v>12097</v>
      </c>
      <c r="B423" s="7" t="s">
        <v>50</v>
      </c>
      <c r="C423" s="7" t="s">
        <v>765</v>
      </c>
      <c r="D423" s="8">
        <v>468058</v>
      </c>
      <c r="E423" s="8">
        <v>65</v>
      </c>
      <c r="F423" s="9">
        <v>0.03</v>
      </c>
      <c r="G423" s="7"/>
    </row>
    <row r="424" spans="1:7" x14ac:dyDescent="0.3">
      <c r="A424" s="7">
        <v>36075</v>
      </c>
      <c r="B424" s="7" t="s">
        <v>32</v>
      </c>
      <c r="C424" s="7" t="s">
        <v>613</v>
      </c>
      <c r="D424" s="8">
        <v>118305</v>
      </c>
      <c r="E424" s="8">
        <v>25</v>
      </c>
      <c r="F424" s="9">
        <v>0.84</v>
      </c>
      <c r="G424" s="7"/>
    </row>
    <row r="425" spans="1:7" x14ac:dyDescent="0.3">
      <c r="A425" s="7">
        <v>26139</v>
      </c>
      <c r="B425" s="7" t="s">
        <v>480</v>
      </c>
      <c r="C425" s="7" t="s">
        <v>898</v>
      </c>
      <c r="D425" s="8">
        <v>306235</v>
      </c>
      <c r="E425" s="8">
        <v>16</v>
      </c>
      <c r="F425" s="9">
        <v>0.25</v>
      </c>
      <c r="G425" s="7" t="s">
        <v>961</v>
      </c>
    </row>
    <row r="426" spans="1:7" x14ac:dyDescent="0.3">
      <c r="A426" s="7">
        <v>22073</v>
      </c>
      <c r="B426" s="7" t="s">
        <v>24</v>
      </c>
      <c r="C426" s="7" t="s">
        <v>780</v>
      </c>
      <c r="D426" s="8">
        <v>157874</v>
      </c>
      <c r="E426" s="8">
        <v>21</v>
      </c>
      <c r="F426" s="9">
        <v>0</v>
      </c>
      <c r="G426" s="7"/>
    </row>
    <row r="427" spans="1:7" x14ac:dyDescent="0.3">
      <c r="A427" s="7">
        <v>55087</v>
      </c>
      <c r="B427" s="7" t="s">
        <v>38</v>
      </c>
      <c r="C427" s="7" t="s">
        <v>771</v>
      </c>
      <c r="D427" s="8">
        <v>195390</v>
      </c>
      <c r="E427" s="8">
        <v>27</v>
      </c>
      <c r="F427" s="9">
        <v>0.3</v>
      </c>
      <c r="G427" s="7"/>
    </row>
    <row r="428" spans="1:7" x14ac:dyDescent="0.3">
      <c r="A428" s="7">
        <v>12099</v>
      </c>
      <c r="B428" s="7" t="s">
        <v>50</v>
      </c>
      <c r="C428" s="7" t="s">
        <v>726</v>
      </c>
      <c r="D428" s="8">
        <v>1582055</v>
      </c>
      <c r="E428" s="8">
        <v>244</v>
      </c>
      <c r="F428" s="9">
        <v>0.04</v>
      </c>
      <c r="G428" s="7"/>
    </row>
    <row r="429" spans="1:7" x14ac:dyDescent="0.3">
      <c r="A429" s="7">
        <v>48367</v>
      </c>
      <c r="B429" s="7" t="s">
        <v>604</v>
      </c>
      <c r="C429" s="7" t="s">
        <v>737</v>
      </c>
      <c r="D429" s="8">
        <v>179707</v>
      </c>
      <c r="E429" s="8">
        <v>27</v>
      </c>
      <c r="F429" s="9">
        <v>0.13</v>
      </c>
      <c r="G429" s="7"/>
    </row>
    <row r="430" spans="1:7" x14ac:dyDescent="0.3">
      <c r="A430" s="7">
        <v>12101</v>
      </c>
      <c r="B430" s="7" t="s">
        <v>50</v>
      </c>
      <c r="C430" s="7" t="s">
        <v>586</v>
      </c>
      <c r="D430" s="8">
        <v>659114</v>
      </c>
      <c r="E430" s="8">
        <v>148</v>
      </c>
      <c r="F430" s="9">
        <v>0.01</v>
      </c>
      <c r="G430" s="7"/>
    </row>
    <row r="431" spans="1:7" x14ac:dyDescent="0.3">
      <c r="A431" s="7">
        <v>34031</v>
      </c>
      <c r="B431" s="7" t="s">
        <v>237</v>
      </c>
      <c r="C431" s="7" t="s">
        <v>718</v>
      </c>
      <c r="D431" s="8">
        <v>526597</v>
      </c>
      <c r="E431" s="8">
        <v>84</v>
      </c>
      <c r="F431" s="9">
        <v>0.97</v>
      </c>
      <c r="G431" s="7" t="s">
        <v>961</v>
      </c>
    </row>
    <row r="432" spans="1:7" x14ac:dyDescent="0.3">
      <c r="A432" s="7">
        <v>13223</v>
      </c>
      <c r="B432" s="7" t="s">
        <v>469</v>
      </c>
      <c r="C432" s="7" t="s">
        <v>772</v>
      </c>
      <c r="D432" s="8">
        <v>188549</v>
      </c>
      <c r="E432" s="8">
        <v>26</v>
      </c>
      <c r="F432" s="9">
        <v>0.52</v>
      </c>
      <c r="G432" s="7"/>
    </row>
    <row r="433" spans="1:7" x14ac:dyDescent="0.3">
      <c r="A433" s="7">
        <v>46103</v>
      </c>
      <c r="B433" s="7" t="s">
        <v>712</v>
      </c>
      <c r="C433" s="7" t="s">
        <v>863</v>
      </c>
      <c r="D433" s="8">
        <v>115979</v>
      </c>
      <c r="E433" s="8">
        <v>11</v>
      </c>
      <c r="F433" s="9">
        <v>0</v>
      </c>
      <c r="G433" s="7"/>
    </row>
    <row r="434" spans="1:7" x14ac:dyDescent="0.3">
      <c r="A434" s="7">
        <v>23019</v>
      </c>
      <c r="B434" s="7" t="s">
        <v>455</v>
      </c>
      <c r="C434" s="7" t="s">
        <v>454</v>
      </c>
      <c r="D434" s="8">
        <v>156840</v>
      </c>
      <c r="E434" s="8">
        <v>52</v>
      </c>
      <c r="F434" s="9">
        <v>0</v>
      </c>
      <c r="G434" s="7" t="s">
        <v>961</v>
      </c>
    </row>
    <row r="435" spans="1:7" x14ac:dyDescent="0.3">
      <c r="A435" s="7">
        <v>17143</v>
      </c>
      <c r="B435" s="7" t="s">
        <v>262</v>
      </c>
      <c r="C435" s="7" t="s">
        <v>579</v>
      </c>
      <c r="D435" s="8">
        <v>179630</v>
      </c>
      <c r="E435" s="8">
        <v>41</v>
      </c>
      <c r="F435" s="9">
        <v>0</v>
      </c>
      <c r="G435" s="7"/>
    </row>
    <row r="436" spans="1:7" x14ac:dyDescent="0.3">
      <c r="A436" s="7">
        <v>42101</v>
      </c>
      <c r="B436" s="7" t="s">
        <v>19</v>
      </c>
      <c r="C436" s="7" t="s">
        <v>18</v>
      </c>
      <c r="D436" s="8">
        <v>1573916</v>
      </c>
      <c r="E436" s="8">
        <v>870</v>
      </c>
      <c r="F436" s="9">
        <v>1.37</v>
      </c>
      <c r="G436" s="7"/>
    </row>
    <row r="437" spans="1:7" x14ac:dyDescent="0.3">
      <c r="A437" s="7">
        <v>45077</v>
      </c>
      <c r="B437" s="7" t="s">
        <v>458</v>
      </c>
      <c r="C437" s="7" t="s">
        <v>569</v>
      </c>
      <c r="D437" s="8">
        <v>138207</v>
      </c>
      <c r="E437" s="8">
        <v>32</v>
      </c>
      <c r="F437" s="9">
        <v>0</v>
      </c>
      <c r="G437" s="7"/>
    </row>
    <row r="438" spans="1:7" x14ac:dyDescent="0.3">
      <c r="A438" s="10">
        <v>53053</v>
      </c>
      <c r="B438" s="10" t="s">
        <v>13</v>
      </c>
      <c r="C438" s="10" t="s">
        <v>25</v>
      </c>
      <c r="D438" s="11">
        <v>941170</v>
      </c>
      <c r="E438" s="11">
        <v>435</v>
      </c>
      <c r="F438" s="12">
        <v>0.08</v>
      </c>
      <c r="G438" s="10" t="s">
        <v>961</v>
      </c>
    </row>
    <row r="439" spans="1:7" x14ac:dyDescent="0.3">
      <c r="A439" s="7">
        <v>4019</v>
      </c>
      <c r="B439" s="7" t="s">
        <v>43</v>
      </c>
      <c r="C439" s="7" t="s">
        <v>42</v>
      </c>
      <c r="D439" s="8">
        <v>1080149</v>
      </c>
      <c r="E439" s="8">
        <v>389</v>
      </c>
      <c r="F439" s="9">
        <v>0.04</v>
      </c>
      <c r="G439" s="7"/>
    </row>
    <row r="440" spans="1:7" x14ac:dyDescent="0.3">
      <c r="A440" s="7">
        <v>4021</v>
      </c>
      <c r="B440" s="7" t="s">
        <v>43</v>
      </c>
      <c r="C440" s="7" t="s">
        <v>601</v>
      </c>
      <c r="D440" s="8">
        <v>513862</v>
      </c>
      <c r="E440" s="8">
        <v>111</v>
      </c>
      <c r="F440" s="9">
        <v>0.02</v>
      </c>
      <c r="G440" s="7" t="s">
        <v>961</v>
      </c>
    </row>
    <row r="441" spans="1:7" x14ac:dyDescent="0.3">
      <c r="A441" s="7">
        <v>12103</v>
      </c>
      <c r="B441" s="7" t="s">
        <v>50</v>
      </c>
      <c r="C441" s="7" t="s">
        <v>529</v>
      </c>
      <c r="D441" s="8">
        <v>965870</v>
      </c>
      <c r="E441" s="8">
        <v>251</v>
      </c>
      <c r="F441" s="9">
        <v>0.03</v>
      </c>
      <c r="G441" s="7"/>
    </row>
    <row r="442" spans="1:7" x14ac:dyDescent="0.3">
      <c r="A442" s="7">
        <v>37147</v>
      </c>
      <c r="B442" s="7" t="s">
        <v>467</v>
      </c>
      <c r="C442" s="7" t="s">
        <v>852</v>
      </c>
      <c r="D442" s="8">
        <v>180783</v>
      </c>
      <c r="E442" s="8">
        <v>18</v>
      </c>
      <c r="F442" s="9">
        <v>0.77</v>
      </c>
      <c r="G442" s="7" t="s">
        <v>961</v>
      </c>
    </row>
    <row r="443" spans="1:7" x14ac:dyDescent="0.3">
      <c r="A443" s="7">
        <v>6061</v>
      </c>
      <c r="B443" s="7" t="s">
        <v>15</v>
      </c>
      <c r="C443" s="7" t="s">
        <v>744</v>
      </c>
      <c r="D443" s="8">
        <v>433822</v>
      </c>
      <c r="E443" s="8">
        <v>64</v>
      </c>
      <c r="F443" s="9">
        <v>0.11</v>
      </c>
      <c r="G443" s="7" t="s">
        <v>961</v>
      </c>
    </row>
    <row r="444" spans="1:7" x14ac:dyDescent="0.3">
      <c r="A444" s="7">
        <v>29165</v>
      </c>
      <c r="B444" s="7" t="s">
        <v>230</v>
      </c>
      <c r="C444" s="7" t="s">
        <v>969</v>
      </c>
      <c r="D444" s="8">
        <v>113207</v>
      </c>
      <c r="E444" s="8"/>
      <c r="F444" s="9">
        <v>0</v>
      </c>
      <c r="G444" s="7"/>
    </row>
    <row r="445" spans="1:7" x14ac:dyDescent="0.3">
      <c r="A445" s="7">
        <v>25023</v>
      </c>
      <c r="B445" s="7" t="s">
        <v>453</v>
      </c>
      <c r="C445" s="7" t="s">
        <v>689</v>
      </c>
      <c r="D445" s="8">
        <v>542090</v>
      </c>
      <c r="E445" s="8">
        <v>92</v>
      </c>
      <c r="F445" s="9">
        <v>0.02</v>
      </c>
      <c r="G445" s="7"/>
    </row>
    <row r="446" spans="1:7" x14ac:dyDescent="0.3">
      <c r="A446" s="7">
        <v>12105</v>
      </c>
      <c r="B446" s="7" t="s">
        <v>50</v>
      </c>
      <c r="C446" s="7" t="s">
        <v>626</v>
      </c>
      <c r="D446" s="8">
        <v>852878</v>
      </c>
      <c r="E446" s="8">
        <v>133</v>
      </c>
      <c r="F446" s="9">
        <v>0.05</v>
      </c>
      <c r="G446" s="7" t="s">
        <v>961</v>
      </c>
    </row>
    <row r="447" spans="1:7" x14ac:dyDescent="0.3">
      <c r="A447" s="7">
        <v>19153</v>
      </c>
      <c r="B447" s="7" t="s">
        <v>627</v>
      </c>
      <c r="C447" s="7" t="s">
        <v>626</v>
      </c>
      <c r="D447" s="8">
        <v>516185</v>
      </c>
      <c r="E447" s="8">
        <v>104</v>
      </c>
      <c r="F447" s="9">
        <v>0</v>
      </c>
      <c r="G447" s="7"/>
    </row>
    <row r="448" spans="1:7" x14ac:dyDescent="0.3">
      <c r="A448" s="7">
        <v>39133</v>
      </c>
      <c r="B448" s="7" t="s">
        <v>447</v>
      </c>
      <c r="C448" s="7" t="s">
        <v>795</v>
      </c>
      <c r="D448" s="8">
        <v>163839</v>
      </c>
      <c r="E448" s="8">
        <v>21</v>
      </c>
      <c r="F448" s="9">
        <v>0</v>
      </c>
      <c r="G448" s="7"/>
    </row>
    <row r="449" spans="1:7" x14ac:dyDescent="0.3">
      <c r="A449" s="7">
        <v>18127</v>
      </c>
      <c r="B449" s="7" t="s">
        <v>35</v>
      </c>
      <c r="C449" s="7" t="s">
        <v>729</v>
      </c>
      <c r="D449" s="8">
        <v>175860</v>
      </c>
      <c r="E449" s="8">
        <v>27</v>
      </c>
      <c r="F449" s="9">
        <v>0</v>
      </c>
      <c r="G449" s="7"/>
    </row>
    <row r="450" spans="1:7" x14ac:dyDescent="0.3">
      <c r="A450" s="7">
        <v>48375</v>
      </c>
      <c r="B450" s="7" t="s">
        <v>604</v>
      </c>
      <c r="C450" s="7" t="s">
        <v>808</v>
      </c>
      <c r="D450" s="8">
        <v>114649</v>
      </c>
      <c r="E450" s="8">
        <v>14</v>
      </c>
      <c r="F450" s="9">
        <v>0</v>
      </c>
      <c r="G450" s="7"/>
    </row>
    <row r="451" spans="1:7" x14ac:dyDescent="0.3">
      <c r="A451" s="7">
        <v>24033</v>
      </c>
      <c r="B451" s="7" t="s">
        <v>11</v>
      </c>
      <c r="C451" s="7" t="s">
        <v>733</v>
      </c>
      <c r="D451" s="8">
        <v>966629</v>
      </c>
      <c r="E451" s="8">
        <v>146</v>
      </c>
      <c r="F451" s="9">
        <v>0.08</v>
      </c>
      <c r="G451" s="7"/>
    </row>
    <row r="452" spans="1:7" x14ac:dyDescent="0.3">
      <c r="A452" s="7">
        <v>51153</v>
      </c>
      <c r="B452" s="7" t="s">
        <v>239</v>
      </c>
      <c r="C452" s="7" t="s">
        <v>815</v>
      </c>
      <c r="D452" s="8">
        <v>497003</v>
      </c>
      <c r="E452" s="8">
        <v>59</v>
      </c>
      <c r="F452" s="9">
        <v>0</v>
      </c>
      <c r="G452" s="7"/>
    </row>
    <row r="453" spans="1:7" x14ac:dyDescent="0.3">
      <c r="A453" s="7">
        <v>44007</v>
      </c>
      <c r="B453" s="7" t="s">
        <v>543</v>
      </c>
      <c r="C453" s="7" t="s">
        <v>611</v>
      </c>
      <c r="D453" s="8">
        <v>675912</v>
      </c>
      <c r="E453" s="8">
        <v>143</v>
      </c>
      <c r="F453" s="9">
        <v>0.28999999999999998</v>
      </c>
      <c r="G453" s="7"/>
    </row>
    <row r="454" spans="1:7" x14ac:dyDescent="0.3">
      <c r="A454" s="7">
        <v>8101</v>
      </c>
      <c r="B454" s="7" t="s">
        <v>17</v>
      </c>
      <c r="C454" s="7" t="s">
        <v>255</v>
      </c>
      <c r="D454" s="8">
        <v>169866</v>
      </c>
      <c r="E454" s="8">
        <v>70</v>
      </c>
      <c r="F454" s="9">
        <v>0.05</v>
      </c>
      <c r="G454" s="7"/>
    </row>
    <row r="455" spans="1:7" x14ac:dyDescent="0.3">
      <c r="A455" s="7">
        <v>5119</v>
      </c>
      <c r="B455" s="7" t="s">
        <v>588</v>
      </c>
      <c r="C455" s="7" t="s">
        <v>587</v>
      </c>
      <c r="D455" s="8">
        <v>401209</v>
      </c>
      <c r="E455" s="8">
        <v>90</v>
      </c>
      <c r="F455" s="9">
        <v>0.19</v>
      </c>
      <c r="G455" s="7" t="s">
        <v>961</v>
      </c>
    </row>
    <row r="456" spans="1:7" x14ac:dyDescent="0.3">
      <c r="A456" s="7">
        <v>36081</v>
      </c>
      <c r="B456" s="7" t="s">
        <v>32</v>
      </c>
      <c r="C456" s="7" t="s">
        <v>790</v>
      </c>
      <c r="D456" s="8">
        <v>2316841</v>
      </c>
      <c r="E456" s="8">
        <v>302</v>
      </c>
      <c r="F456" s="9">
        <v>0.35</v>
      </c>
      <c r="G456" s="7"/>
    </row>
    <row r="457" spans="1:7" x14ac:dyDescent="0.3">
      <c r="A457" s="7">
        <v>55101</v>
      </c>
      <c r="B457" s="7" t="s">
        <v>38</v>
      </c>
      <c r="C457" s="7" t="s">
        <v>698</v>
      </c>
      <c r="D457" s="8">
        <v>198651</v>
      </c>
      <c r="E457" s="8">
        <v>33</v>
      </c>
      <c r="F457" s="9">
        <v>0.14000000000000001</v>
      </c>
      <c r="G457" s="7"/>
    </row>
    <row r="458" spans="1:7" x14ac:dyDescent="0.3">
      <c r="A458" s="7">
        <v>27123</v>
      </c>
      <c r="B458" s="7" t="s">
        <v>475</v>
      </c>
      <c r="C458" s="7" t="s">
        <v>474</v>
      </c>
      <c r="D458" s="8">
        <v>542015</v>
      </c>
      <c r="E458" s="8">
        <v>171</v>
      </c>
      <c r="F458" s="9">
        <v>0.02</v>
      </c>
      <c r="G458" s="7"/>
    </row>
    <row r="459" spans="1:7" x14ac:dyDescent="0.3">
      <c r="A459" s="7">
        <v>48381</v>
      </c>
      <c r="B459" s="7" t="s">
        <v>604</v>
      </c>
      <c r="C459" s="7" t="s">
        <v>970</v>
      </c>
      <c r="D459" s="8">
        <v>150547</v>
      </c>
      <c r="E459" s="8"/>
      <c r="F459" s="9">
        <v>0</v>
      </c>
      <c r="G459" s="7" t="s">
        <v>961</v>
      </c>
    </row>
    <row r="460" spans="1:7" x14ac:dyDescent="0.3">
      <c r="A460" s="7">
        <v>37151</v>
      </c>
      <c r="B460" s="7" t="s">
        <v>467</v>
      </c>
      <c r="C460" s="7" t="s">
        <v>576</v>
      </c>
      <c r="D460" s="8">
        <v>148389</v>
      </c>
      <c r="E460" s="8">
        <v>34</v>
      </c>
      <c r="F460" s="9">
        <v>1.8</v>
      </c>
      <c r="G460" s="7" t="s">
        <v>961</v>
      </c>
    </row>
    <row r="461" spans="1:7" x14ac:dyDescent="0.3">
      <c r="A461" s="7">
        <v>28121</v>
      </c>
      <c r="B461" s="7" t="s">
        <v>257</v>
      </c>
      <c r="C461" s="7" t="s">
        <v>826</v>
      </c>
      <c r="D461" s="8">
        <v>160573</v>
      </c>
      <c r="E461" s="8">
        <v>18</v>
      </c>
      <c r="F461" s="9">
        <v>0</v>
      </c>
      <c r="G461" s="7" t="s">
        <v>961</v>
      </c>
    </row>
    <row r="462" spans="1:7" x14ac:dyDescent="0.3">
      <c r="A462" s="7">
        <v>22079</v>
      </c>
      <c r="B462" s="7" t="s">
        <v>24</v>
      </c>
      <c r="C462" s="7" t="s">
        <v>501</v>
      </c>
      <c r="D462" s="8">
        <v>125899</v>
      </c>
      <c r="E462" s="8">
        <v>35</v>
      </c>
      <c r="F462" s="9">
        <v>0.06</v>
      </c>
      <c r="G462" s="7"/>
    </row>
    <row r="463" spans="1:7" x14ac:dyDescent="0.3">
      <c r="A463" s="7">
        <v>36083</v>
      </c>
      <c r="B463" s="7" t="s">
        <v>32</v>
      </c>
      <c r="C463" s="7" t="s">
        <v>630</v>
      </c>
      <c r="D463" s="8">
        <v>160749</v>
      </c>
      <c r="E463" s="8">
        <v>32</v>
      </c>
      <c r="F463" s="9">
        <v>0</v>
      </c>
      <c r="G463" s="7" t="s">
        <v>961</v>
      </c>
    </row>
    <row r="464" spans="1:7" x14ac:dyDescent="0.3">
      <c r="A464" s="7">
        <v>45079</v>
      </c>
      <c r="B464" s="7" t="s">
        <v>458</v>
      </c>
      <c r="C464" s="7" t="s">
        <v>616</v>
      </c>
      <c r="D464" s="8">
        <v>430651</v>
      </c>
      <c r="E464" s="8">
        <v>89</v>
      </c>
      <c r="F464" s="9">
        <v>0.11</v>
      </c>
      <c r="G464" s="7" t="s">
        <v>961</v>
      </c>
    </row>
    <row r="465" spans="1:7" x14ac:dyDescent="0.3">
      <c r="A465" s="7">
        <v>39139</v>
      </c>
      <c r="B465" s="7" t="s">
        <v>447</v>
      </c>
      <c r="C465" s="7" t="s">
        <v>616</v>
      </c>
      <c r="D465" s="8">
        <v>124853</v>
      </c>
      <c r="E465" s="8">
        <v>21</v>
      </c>
      <c r="F465" s="9">
        <v>0</v>
      </c>
      <c r="G465" s="7"/>
    </row>
    <row r="466" spans="1:7" x14ac:dyDescent="0.3">
      <c r="A466" s="7">
        <v>13245</v>
      </c>
      <c r="B466" s="7" t="s">
        <v>469</v>
      </c>
      <c r="C466" s="7" t="s">
        <v>468</v>
      </c>
      <c r="D466" s="8">
        <v>206303</v>
      </c>
      <c r="E466" s="8">
        <v>66</v>
      </c>
      <c r="F466" s="9">
        <v>0.39</v>
      </c>
      <c r="G466" s="7" t="s">
        <v>961</v>
      </c>
    </row>
    <row r="467" spans="1:7" x14ac:dyDescent="0.3">
      <c r="A467" s="7">
        <v>36085</v>
      </c>
      <c r="B467" s="7" t="s">
        <v>32</v>
      </c>
      <c r="C467" s="7" t="s">
        <v>468</v>
      </c>
      <c r="D467" s="8">
        <v>498212</v>
      </c>
      <c r="E467" s="8">
        <v>93</v>
      </c>
      <c r="F467" s="9">
        <v>0.26</v>
      </c>
      <c r="G467" s="7"/>
    </row>
    <row r="468" spans="1:7" x14ac:dyDescent="0.3">
      <c r="A468" s="7">
        <v>51760</v>
      </c>
      <c r="B468" s="7" t="s">
        <v>239</v>
      </c>
      <c r="C468" s="7" t="s">
        <v>238</v>
      </c>
      <c r="D468" s="8">
        <v>233655</v>
      </c>
      <c r="E468" s="8">
        <v>86</v>
      </c>
      <c r="F468" s="9">
        <v>0.28000000000000003</v>
      </c>
      <c r="G468" s="7" t="s">
        <v>961</v>
      </c>
    </row>
    <row r="469" spans="1:7" x14ac:dyDescent="0.3">
      <c r="A469" s="7">
        <v>6065</v>
      </c>
      <c r="B469" s="7" t="s">
        <v>15</v>
      </c>
      <c r="C469" s="7" t="s">
        <v>570</v>
      </c>
      <c r="D469" s="8">
        <v>2529933</v>
      </c>
      <c r="E469" s="8">
        <v>583</v>
      </c>
      <c r="F469" s="9">
        <v>0.57999999999999996</v>
      </c>
      <c r="G469" s="7"/>
    </row>
    <row r="470" spans="1:7" x14ac:dyDescent="0.3">
      <c r="A470" s="7">
        <v>37155</v>
      </c>
      <c r="B470" s="7" t="s">
        <v>467</v>
      </c>
      <c r="C470" s="7" t="s">
        <v>483</v>
      </c>
      <c r="D470" s="8">
        <v>118624</v>
      </c>
      <c r="E470" s="8">
        <v>36</v>
      </c>
      <c r="F470" s="9">
        <v>4.0599999999999996</v>
      </c>
      <c r="G470" s="7" t="s">
        <v>961</v>
      </c>
    </row>
    <row r="471" spans="1:7" x14ac:dyDescent="0.3">
      <c r="A471" s="7">
        <v>55105</v>
      </c>
      <c r="B471" s="7" t="s">
        <v>38</v>
      </c>
      <c r="C471" s="7" t="s">
        <v>667</v>
      </c>
      <c r="D471" s="8">
        <v>165461</v>
      </c>
      <c r="E471" s="8">
        <v>30</v>
      </c>
      <c r="F471" s="9">
        <v>0.94</v>
      </c>
      <c r="G471" s="7" t="s">
        <v>961</v>
      </c>
    </row>
    <row r="472" spans="1:7" x14ac:dyDescent="0.3">
      <c r="A472" s="7">
        <v>17161</v>
      </c>
      <c r="B472" s="7" t="s">
        <v>262</v>
      </c>
      <c r="C472" s="7" t="s">
        <v>855</v>
      </c>
      <c r="D472" s="8">
        <v>142731</v>
      </c>
      <c r="E472" s="8">
        <v>14</v>
      </c>
      <c r="F472" s="9">
        <v>0</v>
      </c>
      <c r="G472" s="7"/>
    </row>
    <row r="473" spans="1:7" x14ac:dyDescent="0.3">
      <c r="A473" s="7">
        <v>33015</v>
      </c>
      <c r="B473" s="7" t="s">
        <v>590</v>
      </c>
      <c r="C473" s="7" t="s">
        <v>853</v>
      </c>
      <c r="D473" s="8">
        <v>322433</v>
      </c>
      <c r="E473" s="8">
        <v>32</v>
      </c>
      <c r="F473" s="9">
        <v>0.06</v>
      </c>
      <c r="G473" s="7" t="s">
        <v>961</v>
      </c>
    </row>
    <row r="474" spans="1:7" x14ac:dyDescent="0.3">
      <c r="A474" s="7">
        <v>36087</v>
      </c>
      <c r="B474" s="7" t="s">
        <v>32</v>
      </c>
      <c r="C474" s="7" t="s">
        <v>864</v>
      </c>
      <c r="D474" s="8">
        <v>348144</v>
      </c>
      <c r="E474" s="8">
        <v>33</v>
      </c>
      <c r="F474" s="9">
        <v>0.05</v>
      </c>
      <c r="G474" s="7"/>
    </row>
    <row r="475" spans="1:7" x14ac:dyDescent="0.3">
      <c r="A475" s="7">
        <v>48397</v>
      </c>
      <c r="B475" s="7" t="s">
        <v>604</v>
      </c>
      <c r="C475" s="7" t="s">
        <v>878</v>
      </c>
      <c r="D475" s="8">
        <v>137044</v>
      </c>
      <c r="E475" s="8">
        <v>12</v>
      </c>
      <c r="F475" s="9">
        <v>0</v>
      </c>
      <c r="G475" s="7" t="s">
        <v>961</v>
      </c>
    </row>
    <row r="476" spans="1:7" x14ac:dyDescent="0.3">
      <c r="A476" s="7">
        <v>40131</v>
      </c>
      <c r="B476" s="7" t="s">
        <v>490</v>
      </c>
      <c r="C476" s="7" t="s">
        <v>971</v>
      </c>
      <c r="D476" s="8">
        <v>101371</v>
      </c>
      <c r="E476" s="8"/>
      <c r="F476" s="9">
        <v>0.24</v>
      </c>
      <c r="G476" s="7"/>
    </row>
    <row r="477" spans="1:7" x14ac:dyDescent="0.3">
      <c r="A477" s="7">
        <v>37159</v>
      </c>
      <c r="B477" s="7" t="s">
        <v>467</v>
      </c>
      <c r="C477" s="7" t="s">
        <v>551</v>
      </c>
      <c r="D477" s="8">
        <v>153384</v>
      </c>
      <c r="E477" s="8">
        <v>37</v>
      </c>
      <c r="F477" s="9">
        <v>1.64</v>
      </c>
      <c r="G477" s="7" t="s">
        <v>961</v>
      </c>
    </row>
    <row r="478" spans="1:7" x14ac:dyDescent="0.3">
      <c r="A478" s="7">
        <v>47149</v>
      </c>
      <c r="B478" s="7" t="s">
        <v>27</v>
      </c>
      <c r="C478" s="7" t="s">
        <v>536</v>
      </c>
      <c r="D478" s="8">
        <v>376996</v>
      </c>
      <c r="E478" s="8">
        <v>96</v>
      </c>
      <c r="F478" s="9">
        <v>0.04</v>
      </c>
      <c r="G478" s="7"/>
    </row>
    <row r="479" spans="1:7" x14ac:dyDescent="0.3">
      <c r="A479" s="7">
        <v>6067</v>
      </c>
      <c r="B479" s="7" t="s">
        <v>15</v>
      </c>
      <c r="C479" s="7" t="s">
        <v>477</v>
      </c>
      <c r="D479" s="8">
        <v>1611231</v>
      </c>
      <c r="E479" s="8">
        <v>505</v>
      </c>
      <c r="F479" s="9">
        <v>0.18</v>
      </c>
      <c r="G479" s="7" t="s">
        <v>961</v>
      </c>
    </row>
    <row r="480" spans="1:7" x14ac:dyDescent="0.3">
      <c r="A480" s="7">
        <v>26145</v>
      </c>
      <c r="B480" s="7" t="s">
        <v>480</v>
      </c>
      <c r="C480" s="7" t="s">
        <v>716</v>
      </c>
      <c r="D480" s="8">
        <v>187714</v>
      </c>
      <c r="E480" s="8">
        <v>30</v>
      </c>
      <c r="F480" s="9">
        <v>0.3</v>
      </c>
      <c r="G480" s="7" t="s">
        <v>961</v>
      </c>
    </row>
    <row r="481" spans="1:7" x14ac:dyDescent="0.3">
      <c r="A481" s="7">
        <v>5125</v>
      </c>
      <c r="B481" s="7" t="s">
        <v>588</v>
      </c>
      <c r="C481" s="7" t="s">
        <v>809</v>
      </c>
      <c r="D481" s="8">
        <v>131252</v>
      </c>
      <c r="E481" s="8">
        <v>16</v>
      </c>
      <c r="F481" s="9">
        <v>7.0000000000000007E-2</v>
      </c>
      <c r="G481" s="7"/>
    </row>
    <row r="482" spans="1:7" x14ac:dyDescent="0.3">
      <c r="A482" s="7">
        <v>49035</v>
      </c>
      <c r="B482" s="7" t="s">
        <v>572</v>
      </c>
      <c r="C482" s="7" t="s">
        <v>571</v>
      </c>
      <c r="D482" s="8">
        <v>1216274</v>
      </c>
      <c r="E482" s="8">
        <v>280</v>
      </c>
      <c r="F482" s="9">
        <v>0.22</v>
      </c>
      <c r="G482" s="7"/>
    </row>
    <row r="483" spans="1:7" x14ac:dyDescent="0.3">
      <c r="A483" s="7">
        <v>6071</v>
      </c>
      <c r="B483" s="7" t="s">
        <v>15</v>
      </c>
      <c r="C483" s="7" t="s">
        <v>599</v>
      </c>
      <c r="D483" s="8">
        <v>2214281</v>
      </c>
      <c r="E483" s="8">
        <v>485</v>
      </c>
      <c r="F483" s="9">
        <v>0.24</v>
      </c>
      <c r="G483" s="7" t="s">
        <v>961</v>
      </c>
    </row>
    <row r="484" spans="1:7" x14ac:dyDescent="0.3">
      <c r="A484" s="7">
        <v>6073</v>
      </c>
      <c r="B484" s="7" t="s">
        <v>15</v>
      </c>
      <c r="C484" s="7" t="s">
        <v>606</v>
      </c>
      <c r="D484" s="8">
        <v>3298799</v>
      </c>
      <c r="E484" s="8">
        <v>708</v>
      </c>
      <c r="F484" s="9">
        <v>0.21</v>
      </c>
      <c r="G484" s="7"/>
    </row>
    <row r="485" spans="1:7" x14ac:dyDescent="0.3">
      <c r="A485" s="7">
        <v>6075</v>
      </c>
      <c r="B485" s="7" t="s">
        <v>15</v>
      </c>
      <c r="C485" s="7" t="s">
        <v>14</v>
      </c>
      <c r="D485" s="8">
        <v>827526</v>
      </c>
      <c r="E485" s="8">
        <v>473</v>
      </c>
      <c r="F485" s="9">
        <v>0.02</v>
      </c>
      <c r="G485" s="7" t="s">
        <v>961</v>
      </c>
    </row>
    <row r="486" spans="1:7" x14ac:dyDescent="0.3">
      <c r="A486" s="7">
        <v>6077</v>
      </c>
      <c r="B486" s="7" t="s">
        <v>15</v>
      </c>
      <c r="C486" s="7" t="s">
        <v>556</v>
      </c>
      <c r="D486" s="8">
        <v>816108</v>
      </c>
      <c r="E486" s="8">
        <v>195</v>
      </c>
      <c r="F486" s="9">
        <v>0.11</v>
      </c>
      <c r="G486" s="7" t="s">
        <v>961</v>
      </c>
    </row>
    <row r="487" spans="1:7" x14ac:dyDescent="0.3">
      <c r="A487" s="7">
        <v>35045</v>
      </c>
      <c r="B487" s="7" t="s">
        <v>29</v>
      </c>
      <c r="C487" s="7" t="s">
        <v>512</v>
      </c>
      <c r="D487" s="8">
        <v>120817</v>
      </c>
      <c r="E487" s="8">
        <v>33</v>
      </c>
      <c r="F487" s="9">
        <v>0.31</v>
      </c>
      <c r="G487" s="7" t="s">
        <v>961</v>
      </c>
    </row>
    <row r="488" spans="1:7" x14ac:dyDescent="0.3">
      <c r="A488" s="7">
        <v>6079</v>
      </c>
      <c r="B488" s="7" t="s">
        <v>15</v>
      </c>
      <c r="C488" s="7" t="s">
        <v>538</v>
      </c>
      <c r="D488" s="8">
        <v>281843</v>
      </c>
      <c r="E488" s="8">
        <v>71</v>
      </c>
      <c r="F488" s="9">
        <v>0.3</v>
      </c>
      <c r="G488" s="7"/>
    </row>
    <row r="489" spans="1:7" x14ac:dyDescent="0.3">
      <c r="A489" s="7">
        <v>6081</v>
      </c>
      <c r="B489" s="7" t="s">
        <v>15</v>
      </c>
      <c r="C489" s="7" t="s">
        <v>789</v>
      </c>
      <c r="D489" s="8">
        <v>742893</v>
      </c>
      <c r="E489" s="8">
        <v>97</v>
      </c>
      <c r="F489" s="9">
        <v>0.04</v>
      </c>
      <c r="G489" s="7" t="s">
        <v>961</v>
      </c>
    </row>
    <row r="490" spans="1:7" x14ac:dyDescent="0.3">
      <c r="A490" s="7">
        <v>35043</v>
      </c>
      <c r="B490" s="7" t="s">
        <v>29</v>
      </c>
      <c r="C490" s="7" t="s">
        <v>488</v>
      </c>
      <c r="D490" s="8">
        <v>157757</v>
      </c>
      <c r="E490" s="8">
        <v>47</v>
      </c>
      <c r="F490" s="9">
        <v>0.19</v>
      </c>
      <c r="G490" s="7" t="s">
        <v>961</v>
      </c>
    </row>
    <row r="491" spans="1:7" x14ac:dyDescent="0.3">
      <c r="A491" s="7">
        <v>17167</v>
      </c>
      <c r="B491" s="7" t="s">
        <v>262</v>
      </c>
      <c r="C491" s="7" t="s">
        <v>261</v>
      </c>
      <c r="D491" s="8">
        <v>194345</v>
      </c>
      <c r="E491" s="8">
        <v>73</v>
      </c>
      <c r="F491" s="9">
        <v>0.05</v>
      </c>
      <c r="G491" s="7"/>
    </row>
    <row r="492" spans="1:7" x14ac:dyDescent="0.3">
      <c r="A492" s="7">
        <v>6083</v>
      </c>
      <c r="B492" s="7" t="s">
        <v>15</v>
      </c>
      <c r="C492" s="7" t="s">
        <v>625</v>
      </c>
      <c r="D492" s="8">
        <v>444500</v>
      </c>
      <c r="E492" s="8">
        <v>90</v>
      </c>
      <c r="F492" s="9">
        <v>0.06</v>
      </c>
      <c r="G492" s="7"/>
    </row>
    <row r="493" spans="1:7" x14ac:dyDescent="0.3">
      <c r="A493" s="7">
        <v>6085</v>
      </c>
      <c r="B493" s="7" t="s">
        <v>15</v>
      </c>
      <c r="C493" s="7" t="s">
        <v>758</v>
      </c>
      <c r="D493" s="8">
        <v>1926325</v>
      </c>
      <c r="E493" s="8">
        <v>276</v>
      </c>
      <c r="F493" s="9">
        <v>0.23</v>
      </c>
      <c r="G493" s="7" t="s">
        <v>961</v>
      </c>
    </row>
    <row r="494" spans="1:7" x14ac:dyDescent="0.3">
      <c r="A494" s="7">
        <v>6087</v>
      </c>
      <c r="B494" s="7" t="s">
        <v>15</v>
      </c>
      <c r="C494" s="7" t="s">
        <v>495</v>
      </c>
      <c r="D494" s="8">
        <v>262406</v>
      </c>
      <c r="E494" s="8">
        <v>75</v>
      </c>
      <c r="F494" s="9">
        <v>0.05</v>
      </c>
      <c r="G494" s="7" t="s">
        <v>961</v>
      </c>
    </row>
    <row r="495" spans="1:7" x14ac:dyDescent="0.3">
      <c r="A495" s="7">
        <v>35049</v>
      </c>
      <c r="B495" s="7" t="s">
        <v>29</v>
      </c>
      <c r="C495" s="7" t="s">
        <v>249</v>
      </c>
      <c r="D495" s="8">
        <v>157765</v>
      </c>
      <c r="E495" s="8">
        <v>104</v>
      </c>
      <c r="F495" s="9">
        <v>0.06</v>
      </c>
      <c r="G495" s="7"/>
    </row>
    <row r="496" spans="1:7" x14ac:dyDescent="0.3">
      <c r="A496" s="7">
        <v>12113</v>
      </c>
      <c r="B496" s="7" t="s">
        <v>50</v>
      </c>
      <c r="C496" s="7" t="s">
        <v>691</v>
      </c>
      <c r="D496" s="8">
        <v>207653</v>
      </c>
      <c r="E496" s="8">
        <v>35</v>
      </c>
      <c r="F496" s="9">
        <v>0.4</v>
      </c>
      <c r="G496" s="7"/>
    </row>
    <row r="497" spans="1:7" x14ac:dyDescent="0.3">
      <c r="A497" s="7">
        <v>12115</v>
      </c>
      <c r="B497" s="7" t="s">
        <v>50</v>
      </c>
      <c r="C497" s="7" t="s">
        <v>761</v>
      </c>
      <c r="D497" s="8">
        <v>476604</v>
      </c>
      <c r="E497" s="8">
        <v>67</v>
      </c>
      <c r="F497" s="9">
        <v>0.03</v>
      </c>
      <c r="G497" s="7" t="s">
        <v>961</v>
      </c>
    </row>
    <row r="498" spans="1:7" x14ac:dyDescent="0.3">
      <c r="A498" s="7">
        <v>36091</v>
      </c>
      <c r="B498" s="7" t="s">
        <v>32</v>
      </c>
      <c r="C498" s="7" t="s">
        <v>897</v>
      </c>
      <c r="D498" s="8">
        <v>240360</v>
      </c>
      <c r="E498" s="8">
        <v>14</v>
      </c>
      <c r="F498" s="9">
        <v>0.67</v>
      </c>
      <c r="G498" s="7" t="s">
        <v>961</v>
      </c>
    </row>
    <row r="499" spans="1:7" x14ac:dyDescent="0.3">
      <c r="A499" s="7">
        <v>31153</v>
      </c>
      <c r="B499" s="7" t="s">
        <v>868</v>
      </c>
      <c r="C499" s="7" t="s">
        <v>870</v>
      </c>
      <c r="D499" s="8">
        <v>204828</v>
      </c>
      <c r="E499" s="8">
        <v>19</v>
      </c>
      <c r="F499" s="9">
        <v>0</v>
      </c>
      <c r="G499" s="7"/>
    </row>
    <row r="500" spans="1:7" x14ac:dyDescent="0.3">
      <c r="A500" s="7">
        <v>36093</v>
      </c>
      <c r="B500" s="7" t="s">
        <v>32</v>
      </c>
      <c r="C500" s="7" t="s">
        <v>728</v>
      </c>
      <c r="D500" s="8">
        <v>162261</v>
      </c>
      <c r="E500" s="8">
        <v>25</v>
      </c>
      <c r="F500" s="9">
        <v>0</v>
      </c>
      <c r="G500" s="7" t="s">
        <v>961</v>
      </c>
    </row>
    <row r="501" spans="1:7" x14ac:dyDescent="0.3">
      <c r="A501" s="7">
        <v>42107</v>
      </c>
      <c r="B501" s="7" t="s">
        <v>19</v>
      </c>
      <c r="C501" s="7" t="s">
        <v>564</v>
      </c>
      <c r="D501" s="8">
        <v>144523</v>
      </c>
      <c r="E501" s="8">
        <v>34</v>
      </c>
      <c r="F501" s="9">
        <v>0.05</v>
      </c>
      <c r="G501" s="7" t="s">
        <v>961</v>
      </c>
    </row>
    <row r="502" spans="1:7" x14ac:dyDescent="0.3">
      <c r="A502" s="7">
        <v>27139</v>
      </c>
      <c r="B502" s="7" t="s">
        <v>475</v>
      </c>
      <c r="C502" s="7" t="s">
        <v>882</v>
      </c>
      <c r="D502" s="8">
        <v>157206</v>
      </c>
      <c r="E502" s="8"/>
      <c r="F502" s="9">
        <v>0</v>
      </c>
      <c r="G502" s="7"/>
    </row>
    <row r="503" spans="1:7" x14ac:dyDescent="0.3">
      <c r="A503" s="7">
        <v>19163</v>
      </c>
      <c r="B503" s="7" t="s">
        <v>627</v>
      </c>
      <c r="C503" s="7" t="s">
        <v>882</v>
      </c>
      <c r="D503" s="8">
        <v>175601</v>
      </c>
      <c r="E503" s="8">
        <v>15</v>
      </c>
      <c r="F503" s="9">
        <v>0</v>
      </c>
      <c r="G503" s="7"/>
    </row>
    <row r="504" spans="1:7" x14ac:dyDescent="0.3">
      <c r="A504" s="7">
        <v>5131</v>
      </c>
      <c r="B504" s="7" t="s">
        <v>588</v>
      </c>
      <c r="C504" s="7" t="s">
        <v>883</v>
      </c>
      <c r="D504" s="8">
        <v>130035</v>
      </c>
      <c r="E504" s="8">
        <v>11</v>
      </c>
      <c r="F504" s="9">
        <v>0</v>
      </c>
      <c r="G504" s="7"/>
    </row>
    <row r="505" spans="1:7" x14ac:dyDescent="0.3">
      <c r="A505" s="7">
        <v>20173</v>
      </c>
      <c r="B505" s="7" t="s">
        <v>267</v>
      </c>
      <c r="C505" s="7" t="s">
        <v>460</v>
      </c>
      <c r="D505" s="8">
        <v>536081</v>
      </c>
      <c r="E505" s="8">
        <v>176</v>
      </c>
      <c r="F505" s="9">
        <v>0.04</v>
      </c>
      <c r="G505" s="7" t="s">
        <v>961</v>
      </c>
    </row>
    <row r="506" spans="1:7" x14ac:dyDescent="0.3">
      <c r="A506" s="7">
        <v>12117</v>
      </c>
      <c r="B506" s="7" t="s">
        <v>50</v>
      </c>
      <c r="C506" s="7" t="s">
        <v>805</v>
      </c>
      <c r="D506" s="8">
        <v>494605</v>
      </c>
      <c r="E506" s="8">
        <v>61</v>
      </c>
      <c r="F506" s="9">
        <v>0</v>
      </c>
      <c r="G506" s="7"/>
    </row>
    <row r="507" spans="1:7" x14ac:dyDescent="0.3">
      <c r="A507" s="7">
        <v>47155</v>
      </c>
      <c r="B507" s="7" t="s">
        <v>27</v>
      </c>
      <c r="C507" s="7" t="s">
        <v>270</v>
      </c>
      <c r="D507" s="8">
        <v>100184</v>
      </c>
      <c r="E507" s="8">
        <v>35</v>
      </c>
      <c r="F507" s="9">
        <v>0</v>
      </c>
      <c r="G507" s="7" t="s">
        <v>961</v>
      </c>
    </row>
    <row r="508" spans="1:7" x14ac:dyDescent="0.3">
      <c r="A508" s="7">
        <v>6089</v>
      </c>
      <c r="B508" s="7" t="s">
        <v>15</v>
      </c>
      <c r="C508" s="7" t="s">
        <v>449</v>
      </c>
      <c r="D508" s="8">
        <v>181121</v>
      </c>
      <c r="E508" s="8">
        <v>61</v>
      </c>
      <c r="F508" s="9">
        <v>0.28999999999999998</v>
      </c>
      <c r="G508" s="7" t="s">
        <v>961</v>
      </c>
    </row>
    <row r="509" spans="1:7" x14ac:dyDescent="0.3">
      <c r="A509" s="7">
        <v>20177</v>
      </c>
      <c r="B509" s="7" t="s">
        <v>267</v>
      </c>
      <c r="C509" s="7" t="s">
        <v>266</v>
      </c>
      <c r="D509" s="8">
        <v>177942</v>
      </c>
      <c r="E509" s="8">
        <v>63</v>
      </c>
      <c r="F509" s="9">
        <v>0.14000000000000001</v>
      </c>
      <c r="G509" s="7"/>
    </row>
    <row r="510" spans="1:7" x14ac:dyDescent="0.3">
      <c r="A510" s="7">
        <v>55117</v>
      </c>
      <c r="B510" s="7" t="s">
        <v>38</v>
      </c>
      <c r="C510" s="7" t="s">
        <v>972</v>
      </c>
      <c r="D510" s="8">
        <v>118331</v>
      </c>
      <c r="E510" s="8"/>
      <c r="F510" s="9">
        <v>0.09</v>
      </c>
      <c r="G510" s="7"/>
    </row>
    <row r="511" spans="1:7" x14ac:dyDescent="0.3">
      <c r="A511" s="7">
        <v>47157</v>
      </c>
      <c r="B511" s="7" t="s">
        <v>27</v>
      </c>
      <c r="C511" s="7" t="s">
        <v>48</v>
      </c>
      <c r="D511" s="8">
        <v>910530</v>
      </c>
      <c r="E511" s="8">
        <v>322</v>
      </c>
      <c r="F511" s="9">
        <v>0.28000000000000003</v>
      </c>
      <c r="G511" s="7" t="s">
        <v>961</v>
      </c>
    </row>
    <row r="512" spans="1:7" x14ac:dyDescent="0.3">
      <c r="A512" s="7">
        <v>1117</v>
      </c>
      <c r="B512" s="7" t="s">
        <v>463</v>
      </c>
      <c r="C512" s="7" t="s">
        <v>48</v>
      </c>
      <c r="D512" s="8">
        <v>235969</v>
      </c>
      <c r="E512" s="8">
        <v>33</v>
      </c>
      <c r="F512" s="9">
        <v>0.05</v>
      </c>
      <c r="G512" s="7" t="s">
        <v>961</v>
      </c>
    </row>
    <row r="513" spans="1:7" x14ac:dyDescent="0.3">
      <c r="A513" s="7">
        <v>27141</v>
      </c>
      <c r="B513" s="7" t="s">
        <v>475</v>
      </c>
      <c r="C513" s="7" t="s">
        <v>817</v>
      </c>
      <c r="D513" s="8">
        <v>103059</v>
      </c>
      <c r="E513" s="8">
        <v>12</v>
      </c>
      <c r="F513" s="9">
        <v>0</v>
      </c>
      <c r="G513" s="7"/>
    </row>
    <row r="514" spans="1:7" x14ac:dyDescent="0.3">
      <c r="A514" s="10">
        <v>53057</v>
      </c>
      <c r="B514" s="10" t="s">
        <v>13</v>
      </c>
      <c r="C514" s="10" t="s">
        <v>263</v>
      </c>
      <c r="D514" s="11">
        <v>132736</v>
      </c>
      <c r="E514" s="11">
        <v>49</v>
      </c>
      <c r="F514" s="12">
        <v>0</v>
      </c>
      <c r="G514" s="10" t="s">
        <v>961</v>
      </c>
    </row>
    <row r="515" spans="1:7" x14ac:dyDescent="0.3">
      <c r="A515" s="7">
        <v>48423</v>
      </c>
      <c r="B515" s="7" t="s">
        <v>604</v>
      </c>
      <c r="C515" s="7" t="s">
        <v>892</v>
      </c>
      <c r="D515" s="8">
        <v>249091</v>
      </c>
      <c r="E515" s="8">
        <v>16</v>
      </c>
      <c r="F515" s="9">
        <v>0.04</v>
      </c>
      <c r="G515" s="7"/>
    </row>
    <row r="516" spans="1:7" x14ac:dyDescent="0.3">
      <c r="A516" s="10">
        <v>53061</v>
      </c>
      <c r="B516" s="10" t="s">
        <v>13</v>
      </c>
      <c r="C516" s="10" t="s">
        <v>51</v>
      </c>
      <c r="D516" s="11">
        <v>864113</v>
      </c>
      <c r="E516" s="11">
        <v>294</v>
      </c>
      <c r="F516" s="12">
        <v>0.25</v>
      </c>
      <c r="G516" s="10" t="s">
        <v>961</v>
      </c>
    </row>
    <row r="517" spans="1:7" x14ac:dyDescent="0.3">
      <c r="A517" s="7">
        <v>6095</v>
      </c>
      <c r="B517" s="7" t="s">
        <v>15</v>
      </c>
      <c r="C517" s="7" t="s">
        <v>514</v>
      </c>
      <c r="D517" s="8">
        <v>455101</v>
      </c>
      <c r="E517" s="8">
        <v>124</v>
      </c>
      <c r="F517" s="9">
        <v>0.13</v>
      </c>
      <c r="G517" s="7" t="s">
        <v>961</v>
      </c>
    </row>
    <row r="518" spans="1:7" x14ac:dyDescent="0.3">
      <c r="A518" s="7">
        <v>34035</v>
      </c>
      <c r="B518" s="7" t="s">
        <v>237</v>
      </c>
      <c r="C518" s="7" t="s">
        <v>827</v>
      </c>
      <c r="D518" s="8">
        <v>357467</v>
      </c>
      <c r="E518" s="8">
        <v>40</v>
      </c>
      <c r="F518" s="9">
        <v>0.34</v>
      </c>
      <c r="G518" s="7" t="s">
        <v>961</v>
      </c>
    </row>
    <row r="519" spans="1:7" x14ac:dyDescent="0.3">
      <c r="A519" s="7">
        <v>6097</v>
      </c>
      <c r="B519" s="7" t="s">
        <v>15</v>
      </c>
      <c r="C519" s="7" t="s">
        <v>636</v>
      </c>
      <c r="D519" s="8">
        <v>485375</v>
      </c>
      <c r="E519" s="8">
        <v>96</v>
      </c>
      <c r="F519" s="9">
        <v>0.13</v>
      </c>
      <c r="G519" s="7" t="s">
        <v>961</v>
      </c>
    </row>
    <row r="520" spans="1:7" x14ac:dyDescent="0.3">
      <c r="A520" s="7">
        <v>9170</v>
      </c>
      <c r="B520" s="7" t="s">
        <v>907</v>
      </c>
      <c r="C520" s="7" t="s">
        <v>973</v>
      </c>
      <c r="D520" s="8">
        <v>576718</v>
      </c>
      <c r="E520" s="8"/>
      <c r="F520" s="9"/>
      <c r="G520" s="7"/>
    </row>
    <row r="521" spans="1:7" x14ac:dyDescent="0.3">
      <c r="A521" s="7">
        <v>9180</v>
      </c>
      <c r="B521" s="7" t="s">
        <v>907</v>
      </c>
      <c r="C521" s="7" t="s">
        <v>974</v>
      </c>
      <c r="D521" s="8">
        <v>282602</v>
      </c>
      <c r="E521" s="8"/>
      <c r="F521" s="9"/>
      <c r="G521" s="7"/>
    </row>
    <row r="522" spans="1:7" x14ac:dyDescent="0.3">
      <c r="A522" s="7">
        <v>45083</v>
      </c>
      <c r="B522" s="7" t="s">
        <v>458</v>
      </c>
      <c r="C522" s="7" t="s">
        <v>567</v>
      </c>
      <c r="D522" s="8">
        <v>369256</v>
      </c>
      <c r="E522" s="8">
        <v>86</v>
      </c>
      <c r="F522" s="9">
        <v>0.11</v>
      </c>
      <c r="G522" s="7" t="s">
        <v>961</v>
      </c>
    </row>
    <row r="523" spans="1:7" x14ac:dyDescent="0.3">
      <c r="A523" s="13">
        <v>53063</v>
      </c>
      <c r="B523" s="13" t="s">
        <v>13</v>
      </c>
      <c r="C523" s="13" t="s">
        <v>12</v>
      </c>
      <c r="D523" s="14">
        <v>555947</v>
      </c>
      <c r="E523" s="14">
        <v>322</v>
      </c>
      <c r="F523" s="15">
        <v>0.02</v>
      </c>
      <c r="G523" s="13" t="s">
        <v>961</v>
      </c>
    </row>
    <row r="524" spans="1:7" x14ac:dyDescent="0.3">
      <c r="A524" s="7">
        <v>51177</v>
      </c>
      <c r="B524" s="7" t="s">
        <v>239</v>
      </c>
      <c r="C524" s="7" t="s">
        <v>721</v>
      </c>
      <c r="D524" s="8">
        <v>152021</v>
      </c>
      <c r="E524" s="8">
        <v>24</v>
      </c>
      <c r="F524" s="9">
        <v>0.16</v>
      </c>
      <c r="G524" s="7"/>
    </row>
    <row r="525" spans="1:7" x14ac:dyDescent="0.3">
      <c r="A525" s="7">
        <v>29183</v>
      </c>
      <c r="B525" s="7" t="s">
        <v>230</v>
      </c>
      <c r="C525" s="7" t="s">
        <v>776</v>
      </c>
      <c r="D525" s="8">
        <v>423726</v>
      </c>
      <c r="E525" s="8">
        <v>58</v>
      </c>
      <c r="F525" s="9">
        <v>0</v>
      </c>
      <c r="G525" s="7"/>
    </row>
    <row r="526" spans="1:7" x14ac:dyDescent="0.3">
      <c r="A526" s="7">
        <v>17163</v>
      </c>
      <c r="B526" s="7" t="s">
        <v>262</v>
      </c>
      <c r="C526" s="7" t="s">
        <v>524</v>
      </c>
      <c r="D526" s="8">
        <v>251149</v>
      </c>
      <c r="E526" s="8">
        <v>66</v>
      </c>
      <c r="F526" s="9">
        <v>0</v>
      </c>
      <c r="G526" s="7"/>
    </row>
    <row r="527" spans="1:7" x14ac:dyDescent="0.3">
      <c r="A527" s="7">
        <v>26147</v>
      </c>
      <c r="B527" s="7" t="s">
        <v>480</v>
      </c>
      <c r="C527" s="7" t="s">
        <v>524</v>
      </c>
      <c r="D527" s="8">
        <v>160308</v>
      </c>
      <c r="E527" s="8">
        <v>27</v>
      </c>
      <c r="F527" s="9">
        <v>0.15</v>
      </c>
      <c r="G527" s="7" t="s">
        <v>961</v>
      </c>
    </row>
    <row r="528" spans="1:7" x14ac:dyDescent="0.3">
      <c r="A528" s="7">
        <v>12109</v>
      </c>
      <c r="B528" s="7" t="s">
        <v>50</v>
      </c>
      <c r="C528" s="7" t="s">
        <v>837</v>
      </c>
      <c r="D528" s="8">
        <v>334928</v>
      </c>
      <c r="E528" s="8">
        <v>36</v>
      </c>
      <c r="F528" s="9">
        <v>0</v>
      </c>
      <c r="G528" s="7"/>
    </row>
    <row r="529" spans="1:7" x14ac:dyDescent="0.3">
      <c r="A529" s="7">
        <v>18141</v>
      </c>
      <c r="B529" s="7" t="s">
        <v>35</v>
      </c>
      <c r="C529" s="7" t="s">
        <v>694</v>
      </c>
      <c r="D529" s="8">
        <v>273744</v>
      </c>
      <c r="E529" s="8">
        <v>46</v>
      </c>
      <c r="F529" s="9">
        <v>0</v>
      </c>
      <c r="G529" s="7"/>
    </row>
    <row r="530" spans="1:7" x14ac:dyDescent="0.3">
      <c r="A530" s="7">
        <v>36089</v>
      </c>
      <c r="B530" s="7" t="s">
        <v>32</v>
      </c>
      <c r="C530" s="7" t="s">
        <v>975</v>
      </c>
      <c r="D530" s="8">
        <v>106198</v>
      </c>
      <c r="E530" s="8"/>
      <c r="F530" s="9">
        <v>0.53</v>
      </c>
      <c r="G530" s="7"/>
    </row>
    <row r="531" spans="1:7" x14ac:dyDescent="0.3">
      <c r="A531" s="7">
        <v>27137</v>
      </c>
      <c r="B531" s="7" t="s">
        <v>475</v>
      </c>
      <c r="C531" s="7" t="s">
        <v>640</v>
      </c>
      <c r="D531" s="8">
        <v>200794</v>
      </c>
      <c r="E531" s="8">
        <v>37</v>
      </c>
      <c r="F531" s="9">
        <v>0</v>
      </c>
      <c r="G531" s="7"/>
    </row>
    <row r="532" spans="1:7" x14ac:dyDescent="0.3">
      <c r="A532" s="7">
        <v>29189</v>
      </c>
      <c r="B532" s="7" t="s">
        <v>230</v>
      </c>
      <c r="C532" s="7" t="s">
        <v>640</v>
      </c>
      <c r="D532" s="8">
        <v>992929</v>
      </c>
      <c r="E532" s="8">
        <v>194</v>
      </c>
      <c r="F532" s="9">
        <v>0</v>
      </c>
      <c r="G532" s="7"/>
    </row>
    <row r="533" spans="1:7" x14ac:dyDescent="0.3">
      <c r="A533" s="7">
        <v>29510</v>
      </c>
      <c r="B533" s="7" t="s">
        <v>230</v>
      </c>
      <c r="C533" s="7" t="s">
        <v>229</v>
      </c>
      <c r="D533" s="8">
        <v>279695</v>
      </c>
      <c r="E533" s="8">
        <v>180</v>
      </c>
      <c r="F533" s="9">
        <v>0</v>
      </c>
      <c r="G533" s="7"/>
    </row>
    <row r="534" spans="1:7" x14ac:dyDescent="0.3">
      <c r="A534" s="7">
        <v>12111</v>
      </c>
      <c r="B534" s="7" t="s">
        <v>50</v>
      </c>
      <c r="C534" s="7" t="s">
        <v>723</v>
      </c>
      <c r="D534" s="8">
        <v>390670</v>
      </c>
      <c r="E534" s="8">
        <v>61</v>
      </c>
      <c r="F534" s="9">
        <v>0.05</v>
      </c>
      <c r="G534" s="7"/>
    </row>
    <row r="535" spans="1:7" x14ac:dyDescent="0.3">
      <c r="A535" s="7">
        <v>24037</v>
      </c>
      <c r="B535" s="7" t="s">
        <v>11</v>
      </c>
      <c r="C535" s="7" t="s">
        <v>775</v>
      </c>
      <c r="D535" s="8">
        <v>116469</v>
      </c>
      <c r="E535" s="8">
        <v>16</v>
      </c>
      <c r="F535" s="9">
        <v>0</v>
      </c>
      <c r="G535" s="7"/>
    </row>
    <row r="536" spans="1:7" x14ac:dyDescent="0.3">
      <c r="A536" s="7">
        <v>22103</v>
      </c>
      <c r="B536" s="7" t="s">
        <v>24</v>
      </c>
      <c r="C536" s="7" t="s">
        <v>548</v>
      </c>
      <c r="D536" s="8">
        <v>277615</v>
      </c>
      <c r="E536" s="8">
        <v>68</v>
      </c>
      <c r="F536" s="9">
        <v>0</v>
      </c>
      <c r="G536" s="7"/>
    </row>
    <row r="537" spans="1:7" x14ac:dyDescent="0.3">
      <c r="A537" s="7">
        <v>51179</v>
      </c>
      <c r="B537" s="7" t="s">
        <v>239</v>
      </c>
      <c r="C537" s="7" t="s">
        <v>887</v>
      </c>
      <c r="D537" s="8">
        <v>168919</v>
      </c>
      <c r="E537" s="8">
        <v>13</v>
      </c>
      <c r="F537" s="9">
        <v>0</v>
      </c>
      <c r="G537" s="7"/>
    </row>
    <row r="538" spans="1:7" x14ac:dyDescent="0.3">
      <c r="A538" s="7">
        <v>6099</v>
      </c>
      <c r="B538" s="7" t="s">
        <v>15</v>
      </c>
      <c r="C538" s="7" t="s">
        <v>550</v>
      </c>
      <c r="D538" s="8">
        <v>556972</v>
      </c>
      <c r="E538" s="8">
        <v>135</v>
      </c>
      <c r="F538" s="9">
        <v>0.13</v>
      </c>
      <c r="G538" s="7"/>
    </row>
    <row r="539" spans="1:7" x14ac:dyDescent="0.3">
      <c r="A539" s="7">
        <v>39151</v>
      </c>
      <c r="B539" s="7" t="s">
        <v>447</v>
      </c>
      <c r="C539" s="7" t="s">
        <v>513</v>
      </c>
      <c r="D539" s="8">
        <v>374091</v>
      </c>
      <c r="E539" s="8">
        <v>102</v>
      </c>
      <c r="F539" s="9">
        <v>0.02</v>
      </c>
      <c r="G539" s="7" t="s">
        <v>961</v>
      </c>
    </row>
    <row r="540" spans="1:7" x14ac:dyDescent="0.3">
      <c r="A540" s="7">
        <v>27145</v>
      </c>
      <c r="B540" s="7" t="s">
        <v>475</v>
      </c>
      <c r="C540" s="7" t="s">
        <v>763</v>
      </c>
      <c r="D540" s="8">
        <v>163997</v>
      </c>
      <c r="E540" s="8">
        <v>23</v>
      </c>
      <c r="F540" s="9">
        <v>0</v>
      </c>
      <c r="G540" s="7"/>
    </row>
    <row r="541" spans="1:7" x14ac:dyDescent="0.3">
      <c r="A541" s="7">
        <v>19169</v>
      </c>
      <c r="B541" s="7" t="s">
        <v>627</v>
      </c>
      <c r="C541" s="7" t="s">
        <v>976</v>
      </c>
      <c r="D541" s="8">
        <v>102498</v>
      </c>
      <c r="E541" s="8"/>
      <c r="F541" s="9">
        <v>0</v>
      </c>
      <c r="G541" s="7"/>
    </row>
    <row r="542" spans="1:7" x14ac:dyDescent="0.3">
      <c r="A542" s="7">
        <v>33017</v>
      </c>
      <c r="B542" s="7" t="s">
        <v>590</v>
      </c>
      <c r="C542" s="7" t="s">
        <v>589</v>
      </c>
      <c r="D542" s="8">
        <v>134202</v>
      </c>
      <c r="E542" s="8">
        <v>30</v>
      </c>
      <c r="F542" s="9">
        <v>0.15</v>
      </c>
      <c r="G542" s="7" t="s">
        <v>961</v>
      </c>
    </row>
    <row r="543" spans="1:7" x14ac:dyDescent="0.3">
      <c r="A543" s="7">
        <v>36103</v>
      </c>
      <c r="B543" s="7" t="s">
        <v>32</v>
      </c>
      <c r="C543" s="7" t="s">
        <v>518</v>
      </c>
      <c r="D543" s="8">
        <v>1535909</v>
      </c>
      <c r="E543" s="8">
        <v>259</v>
      </c>
      <c r="F543" s="9">
        <v>0.37</v>
      </c>
      <c r="G543" s="7" t="s">
        <v>961</v>
      </c>
    </row>
    <row r="544" spans="1:7" x14ac:dyDescent="0.3">
      <c r="A544" s="7">
        <v>25025</v>
      </c>
      <c r="B544" s="7" t="s">
        <v>453</v>
      </c>
      <c r="C544" s="7" t="s">
        <v>518</v>
      </c>
      <c r="D544" s="8">
        <v>793144</v>
      </c>
      <c r="E544" s="8">
        <v>213</v>
      </c>
      <c r="F544" s="9">
        <v>0.17</v>
      </c>
      <c r="G544" s="7"/>
    </row>
    <row r="545" spans="1:7" x14ac:dyDescent="0.3">
      <c r="A545" s="7">
        <v>51800</v>
      </c>
      <c r="B545" s="7" t="s">
        <v>239</v>
      </c>
      <c r="C545" s="7" t="s">
        <v>702</v>
      </c>
      <c r="D545" s="8">
        <v>103105</v>
      </c>
      <c r="E545" s="8">
        <v>17</v>
      </c>
      <c r="F545" s="9">
        <v>0</v>
      </c>
      <c r="G545" s="7" t="s">
        <v>961</v>
      </c>
    </row>
    <row r="546" spans="1:7" x14ac:dyDescent="0.3">
      <c r="A546" s="7">
        <v>47163</v>
      </c>
      <c r="B546" s="7" t="s">
        <v>27</v>
      </c>
      <c r="C546" s="7" t="s">
        <v>503</v>
      </c>
      <c r="D546" s="8">
        <v>162703</v>
      </c>
      <c r="E546" s="8">
        <v>45</v>
      </c>
      <c r="F546" s="9">
        <v>0</v>
      </c>
      <c r="G546" s="7"/>
    </row>
    <row r="547" spans="1:7" x14ac:dyDescent="0.3">
      <c r="A547" s="7">
        <v>39153</v>
      </c>
      <c r="B547" s="7" t="s">
        <v>447</v>
      </c>
      <c r="C547" s="7" t="s">
        <v>539</v>
      </c>
      <c r="D547" s="8">
        <v>538370</v>
      </c>
      <c r="E547" s="8">
        <v>135</v>
      </c>
      <c r="F547" s="9">
        <v>0.02</v>
      </c>
      <c r="G547" s="7"/>
    </row>
    <row r="548" spans="1:7" x14ac:dyDescent="0.3">
      <c r="A548" s="7">
        <v>47165</v>
      </c>
      <c r="B548" s="7" t="s">
        <v>27</v>
      </c>
      <c r="C548" s="7" t="s">
        <v>645</v>
      </c>
      <c r="D548" s="8">
        <v>211721</v>
      </c>
      <c r="E548" s="8">
        <v>41</v>
      </c>
      <c r="F548" s="9">
        <v>0.28999999999999998</v>
      </c>
      <c r="G548" s="7"/>
    </row>
    <row r="549" spans="1:7" x14ac:dyDescent="0.3">
      <c r="A549" s="7">
        <v>45085</v>
      </c>
      <c r="B549" s="7" t="s">
        <v>458</v>
      </c>
      <c r="C549" s="7" t="s">
        <v>740</v>
      </c>
      <c r="D549" s="8">
        <v>104776</v>
      </c>
      <c r="E549" s="8">
        <v>15</v>
      </c>
      <c r="F549" s="9">
        <v>0</v>
      </c>
      <c r="G549" s="7"/>
    </row>
    <row r="550" spans="1:7" x14ac:dyDescent="0.3">
      <c r="A550" s="7">
        <v>12119</v>
      </c>
      <c r="B550" s="7" t="s">
        <v>50</v>
      </c>
      <c r="C550" s="7" t="s">
        <v>740</v>
      </c>
      <c r="D550" s="8">
        <v>154693</v>
      </c>
      <c r="E550" s="8">
        <v>23</v>
      </c>
      <c r="F550" s="9">
        <v>0</v>
      </c>
      <c r="G550" s="7"/>
    </row>
    <row r="551" spans="1:7" x14ac:dyDescent="0.3">
      <c r="A551" s="7">
        <v>34037</v>
      </c>
      <c r="B551" s="7" t="s">
        <v>237</v>
      </c>
      <c r="C551" s="7" t="s">
        <v>617</v>
      </c>
      <c r="D551" s="8">
        <v>147444</v>
      </c>
      <c r="E551" s="8">
        <v>19</v>
      </c>
      <c r="F551" s="9">
        <v>0.08</v>
      </c>
      <c r="G551" s="7"/>
    </row>
    <row r="552" spans="1:7" x14ac:dyDescent="0.3">
      <c r="A552" s="7">
        <v>10005</v>
      </c>
      <c r="B552" s="7" t="s">
        <v>47</v>
      </c>
      <c r="C552" s="7" t="s">
        <v>617</v>
      </c>
      <c r="D552" s="8">
        <v>271134</v>
      </c>
      <c r="E552" s="8">
        <v>56</v>
      </c>
      <c r="F552" s="9">
        <v>0.03</v>
      </c>
      <c r="G552" s="7" t="s">
        <v>961</v>
      </c>
    </row>
    <row r="553" spans="1:7" x14ac:dyDescent="0.3">
      <c r="A553" s="7">
        <v>22105</v>
      </c>
      <c r="B553" s="7" t="s">
        <v>24</v>
      </c>
      <c r="C553" s="7" t="s">
        <v>459</v>
      </c>
      <c r="D553" s="8">
        <v>139823</v>
      </c>
      <c r="E553" s="8">
        <v>46</v>
      </c>
      <c r="F553" s="9">
        <v>7.0000000000000007E-2</v>
      </c>
      <c r="G553" s="7"/>
    </row>
    <row r="554" spans="1:7" x14ac:dyDescent="0.3">
      <c r="A554" s="7">
        <v>48439</v>
      </c>
      <c r="B554" s="7" t="s">
        <v>604</v>
      </c>
      <c r="C554" s="7" t="s">
        <v>631</v>
      </c>
      <c r="D554" s="8">
        <v>2230708</v>
      </c>
      <c r="E554" s="8">
        <v>444</v>
      </c>
      <c r="F554" s="9">
        <v>0.06</v>
      </c>
      <c r="G554" s="7" t="s">
        <v>961</v>
      </c>
    </row>
    <row r="555" spans="1:7" x14ac:dyDescent="0.3">
      <c r="A555" s="7">
        <v>48441</v>
      </c>
      <c r="B555" s="7" t="s">
        <v>604</v>
      </c>
      <c r="C555" s="7" t="s">
        <v>641</v>
      </c>
      <c r="D555" s="8">
        <v>148813</v>
      </c>
      <c r="E555" s="8">
        <v>29</v>
      </c>
      <c r="F555" s="9">
        <v>0.13</v>
      </c>
      <c r="G555" s="7" t="s">
        <v>961</v>
      </c>
    </row>
    <row r="556" spans="1:7" x14ac:dyDescent="0.3">
      <c r="A556" s="7">
        <v>17179</v>
      </c>
      <c r="B556" s="7" t="s">
        <v>262</v>
      </c>
      <c r="C556" s="7" t="s">
        <v>786</v>
      </c>
      <c r="D556" s="8">
        <v>129821</v>
      </c>
      <c r="E556" s="8">
        <v>17</v>
      </c>
      <c r="F556" s="9">
        <v>0</v>
      </c>
      <c r="G556" s="7"/>
    </row>
    <row r="557" spans="1:7" x14ac:dyDescent="0.3">
      <c r="A557" s="7">
        <v>22109</v>
      </c>
      <c r="B557" s="7" t="s">
        <v>24</v>
      </c>
      <c r="C557" s="7" t="s">
        <v>258</v>
      </c>
      <c r="D557" s="8">
        <v>103864</v>
      </c>
      <c r="E557" s="8">
        <v>40</v>
      </c>
      <c r="F557" s="9">
        <v>0</v>
      </c>
      <c r="G557" s="7"/>
    </row>
    <row r="558" spans="1:7" x14ac:dyDescent="0.3">
      <c r="A558" s="10">
        <v>53067</v>
      </c>
      <c r="B558" s="10" t="s">
        <v>13</v>
      </c>
      <c r="C558" s="10" t="s">
        <v>39</v>
      </c>
      <c r="D558" s="11">
        <v>302912</v>
      </c>
      <c r="E558" s="11">
        <v>111</v>
      </c>
      <c r="F558" s="12">
        <v>0.18</v>
      </c>
      <c r="G558" s="10" t="s">
        <v>961</v>
      </c>
    </row>
    <row r="559" spans="1:7" x14ac:dyDescent="0.3">
      <c r="A559" s="7">
        <v>18157</v>
      </c>
      <c r="B559" s="7" t="s">
        <v>35</v>
      </c>
      <c r="C559" s="7" t="s">
        <v>844</v>
      </c>
      <c r="D559" s="8">
        <v>191650</v>
      </c>
      <c r="E559" s="8">
        <v>20</v>
      </c>
      <c r="F559" s="9">
        <v>0</v>
      </c>
      <c r="G559" s="7"/>
    </row>
    <row r="560" spans="1:7" x14ac:dyDescent="0.3">
      <c r="A560" s="7">
        <v>48451</v>
      </c>
      <c r="B560" s="7" t="s">
        <v>604</v>
      </c>
      <c r="C560" s="7" t="s">
        <v>977</v>
      </c>
      <c r="D560" s="8">
        <v>120103</v>
      </c>
      <c r="E560" s="8"/>
      <c r="F560" s="9">
        <v>0.16</v>
      </c>
      <c r="G560" s="7"/>
    </row>
    <row r="561" spans="1:7" x14ac:dyDescent="0.3">
      <c r="A561" s="7">
        <v>36109</v>
      </c>
      <c r="B561" s="7" t="s">
        <v>32</v>
      </c>
      <c r="C561" s="7" t="s">
        <v>978</v>
      </c>
      <c r="D561" s="8">
        <v>105602</v>
      </c>
      <c r="E561" s="8"/>
      <c r="F561" s="9">
        <v>0</v>
      </c>
      <c r="G561" s="7"/>
    </row>
    <row r="562" spans="1:7" x14ac:dyDescent="0.3">
      <c r="A562" s="7">
        <v>48453</v>
      </c>
      <c r="B562" s="7" t="s">
        <v>604</v>
      </c>
      <c r="C562" s="7" t="s">
        <v>684</v>
      </c>
      <c r="D562" s="8">
        <v>1363767</v>
      </c>
      <c r="E562" s="8">
        <v>236</v>
      </c>
      <c r="F562" s="9">
        <v>0.03</v>
      </c>
      <c r="G562" s="7"/>
    </row>
    <row r="563" spans="1:7" x14ac:dyDescent="0.3">
      <c r="A563" s="7">
        <v>39155</v>
      </c>
      <c r="B563" s="7" t="s">
        <v>447</v>
      </c>
      <c r="C563" s="7" t="s">
        <v>446</v>
      </c>
      <c r="D563" s="8">
        <v>200300</v>
      </c>
      <c r="E563" s="8">
        <v>68</v>
      </c>
      <c r="F563" s="9">
        <v>7.0000000000000007E-2</v>
      </c>
      <c r="G563" s="7"/>
    </row>
    <row r="564" spans="1:7" x14ac:dyDescent="0.3">
      <c r="A564" s="7">
        <v>6107</v>
      </c>
      <c r="B564" s="7" t="s">
        <v>15</v>
      </c>
      <c r="C564" s="7" t="s">
        <v>682</v>
      </c>
      <c r="D564" s="8">
        <v>483546</v>
      </c>
      <c r="E564" s="8">
        <v>84</v>
      </c>
      <c r="F564" s="9">
        <v>0.03</v>
      </c>
      <c r="G564" s="7"/>
    </row>
    <row r="565" spans="1:7" x14ac:dyDescent="0.3">
      <c r="A565" s="7">
        <v>40143</v>
      </c>
      <c r="B565" s="7" t="s">
        <v>490</v>
      </c>
      <c r="C565" s="7" t="s">
        <v>979</v>
      </c>
      <c r="D565" s="8">
        <v>693514</v>
      </c>
      <c r="E565" s="8"/>
      <c r="F565" s="9">
        <v>0.03</v>
      </c>
      <c r="G565" s="7"/>
    </row>
    <row r="566" spans="1:7" x14ac:dyDescent="0.3">
      <c r="A566" s="7">
        <v>1125</v>
      </c>
      <c r="B566" s="7" t="s">
        <v>463</v>
      </c>
      <c r="C566" s="7" t="s">
        <v>861</v>
      </c>
      <c r="D566" s="8">
        <v>241212</v>
      </c>
      <c r="E566" s="8">
        <v>23</v>
      </c>
      <c r="F566" s="9">
        <v>0.15</v>
      </c>
      <c r="G566" s="7"/>
    </row>
    <row r="567" spans="1:7" x14ac:dyDescent="0.3">
      <c r="A567" s="7">
        <v>36111</v>
      </c>
      <c r="B567" s="7" t="s">
        <v>32</v>
      </c>
      <c r="C567" s="7" t="s">
        <v>784</v>
      </c>
      <c r="D567" s="8">
        <v>182977</v>
      </c>
      <c r="E567" s="8">
        <v>24</v>
      </c>
      <c r="F567" s="9">
        <v>0.22</v>
      </c>
      <c r="G567" s="7" t="s">
        <v>961</v>
      </c>
    </row>
    <row r="568" spans="1:7" x14ac:dyDescent="0.3">
      <c r="A568" s="7">
        <v>34039</v>
      </c>
      <c r="B568" s="7" t="s">
        <v>237</v>
      </c>
      <c r="C568" s="7" t="s">
        <v>725</v>
      </c>
      <c r="D568" s="8">
        <v>594160</v>
      </c>
      <c r="E568" s="8">
        <v>92</v>
      </c>
      <c r="F568" s="9">
        <v>0.18</v>
      </c>
      <c r="G568" s="7"/>
    </row>
    <row r="569" spans="1:7" x14ac:dyDescent="0.3">
      <c r="A569" s="7">
        <v>37179</v>
      </c>
      <c r="B569" s="7" t="s">
        <v>467</v>
      </c>
      <c r="C569" s="7" t="s">
        <v>725</v>
      </c>
      <c r="D569" s="8">
        <v>263386</v>
      </c>
      <c r="E569" s="8">
        <v>34</v>
      </c>
      <c r="F569" s="9">
        <v>0.52</v>
      </c>
      <c r="G569" s="7" t="s">
        <v>961</v>
      </c>
    </row>
    <row r="570" spans="1:7" x14ac:dyDescent="0.3">
      <c r="A570" s="7">
        <v>49049</v>
      </c>
      <c r="B570" s="7" t="s">
        <v>572</v>
      </c>
      <c r="C570" s="7" t="s">
        <v>818</v>
      </c>
      <c r="D570" s="8">
        <v>747234</v>
      </c>
      <c r="E570" s="8">
        <v>87</v>
      </c>
      <c r="F570" s="9">
        <v>0.18</v>
      </c>
      <c r="G570" s="7" t="s">
        <v>961</v>
      </c>
    </row>
    <row r="571" spans="1:7" x14ac:dyDescent="0.3">
      <c r="A571" s="7">
        <v>18163</v>
      </c>
      <c r="B571" s="7" t="s">
        <v>35</v>
      </c>
      <c r="C571" s="7" t="s">
        <v>655</v>
      </c>
      <c r="D571" s="8">
        <v>180387</v>
      </c>
      <c r="E571" s="8">
        <v>34</v>
      </c>
      <c r="F571" s="9">
        <v>0</v>
      </c>
      <c r="G571" s="7"/>
    </row>
    <row r="572" spans="1:7" x14ac:dyDescent="0.3">
      <c r="A572" s="7">
        <v>6111</v>
      </c>
      <c r="B572" s="7" t="s">
        <v>15</v>
      </c>
      <c r="C572" s="7" t="s">
        <v>592</v>
      </c>
      <c r="D572" s="8">
        <v>835427</v>
      </c>
      <c r="E572" s="8">
        <v>185</v>
      </c>
      <c r="F572" s="9">
        <v>0.06</v>
      </c>
      <c r="G572" s="7"/>
    </row>
    <row r="573" spans="1:7" x14ac:dyDescent="0.3">
      <c r="A573" s="7">
        <v>18167</v>
      </c>
      <c r="B573" s="7" t="s">
        <v>35</v>
      </c>
      <c r="C573" s="7" t="s">
        <v>563</v>
      </c>
      <c r="D573" s="8">
        <v>106166</v>
      </c>
      <c r="E573" s="8">
        <v>25</v>
      </c>
      <c r="F573" s="9">
        <v>0</v>
      </c>
      <c r="G573" s="7"/>
    </row>
    <row r="574" spans="1:7" x14ac:dyDescent="0.3">
      <c r="A574" s="7">
        <v>51810</v>
      </c>
      <c r="B574" s="7" t="s">
        <v>239</v>
      </c>
      <c r="C574" s="7" t="s">
        <v>791</v>
      </c>
      <c r="D574" s="8">
        <v>454808</v>
      </c>
      <c r="E574" s="8">
        <v>59</v>
      </c>
      <c r="F574" s="9">
        <v>0.11</v>
      </c>
      <c r="G574" s="7"/>
    </row>
    <row r="575" spans="1:7" x14ac:dyDescent="0.3">
      <c r="A575" s="7">
        <v>12127</v>
      </c>
      <c r="B575" s="7" t="s">
        <v>50</v>
      </c>
      <c r="C575" s="7" t="s">
        <v>595</v>
      </c>
      <c r="D575" s="8">
        <v>602772</v>
      </c>
      <c r="E575" s="8">
        <v>133</v>
      </c>
      <c r="F575" s="9">
        <v>0.02</v>
      </c>
      <c r="G575" s="7"/>
    </row>
    <row r="576" spans="1:7" x14ac:dyDescent="0.3">
      <c r="A576" s="7">
        <v>37183</v>
      </c>
      <c r="B576" s="7" t="s">
        <v>467</v>
      </c>
      <c r="C576" s="7" t="s">
        <v>876</v>
      </c>
      <c r="D576" s="8">
        <v>1232444</v>
      </c>
      <c r="E576" s="8">
        <v>109</v>
      </c>
      <c r="F576" s="9">
        <v>1.24</v>
      </c>
      <c r="G576" s="7" t="s">
        <v>961</v>
      </c>
    </row>
    <row r="577" spans="1:7" x14ac:dyDescent="0.3">
      <c r="A577" s="7">
        <v>13297</v>
      </c>
      <c r="B577" s="7" t="s">
        <v>469</v>
      </c>
      <c r="C577" s="7" t="s">
        <v>777</v>
      </c>
      <c r="D577" s="8">
        <v>109792</v>
      </c>
      <c r="E577" s="8">
        <v>15</v>
      </c>
      <c r="F577" s="9">
        <v>0</v>
      </c>
      <c r="G577" s="7"/>
    </row>
    <row r="578" spans="1:7" x14ac:dyDescent="0.3">
      <c r="A578" s="7">
        <v>55127</v>
      </c>
      <c r="B578" s="7" t="s">
        <v>38</v>
      </c>
      <c r="C578" s="7" t="s">
        <v>846</v>
      </c>
      <c r="D578" s="8">
        <v>106029</v>
      </c>
      <c r="E578" s="8">
        <v>11</v>
      </c>
      <c r="F578" s="9">
        <v>0</v>
      </c>
      <c r="G578" s="7" t="s">
        <v>961</v>
      </c>
    </row>
    <row r="579" spans="1:7" x14ac:dyDescent="0.3">
      <c r="A579" s="7">
        <v>34041</v>
      </c>
      <c r="B579" s="7" t="s">
        <v>237</v>
      </c>
      <c r="C579" s="7" t="s">
        <v>778</v>
      </c>
      <c r="D579" s="8">
        <v>112031</v>
      </c>
      <c r="E579" s="8">
        <v>15</v>
      </c>
      <c r="F579" s="9">
        <v>0.28000000000000003</v>
      </c>
      <c r="G579" s="7"/>
    </row>
    <row r="580" spans="1:7" x14ac:dyDescent="0.3">
      <c r="A580" s="7">
        <v>21227</v>
      </c>
      <c r="B580" s="7" t="s">
        <v>41</v>
      </c>
      <c r="C580" s="7" t="s">
        <v>778</v>
      </c>
      <c r="D580" s="8">
        <v>147936</v>
      </c>
      <c r="E580" s="8">
        <v>16</v>
      </c>
      <c r="F580" s="9">
        <v>0</v>
      </c>
      <c r="G580" s="7"/>
    </row>
    <row r="581" spans="1:7" x14ac:dyDescent="0.3">
      <c r="A581" s="7">
        <v>39165</v>
      </c>
      <c r="B581" s="7" t="s">
        <v>447</v>
      </c>
      <c r="C581" s="7" t="s">
        <v>778</v>
      </c>
      <c r="D581" s="8">
        <v>256059</v>
      </c>
      <c r="E581" s="8">
        <v>24</v>
      </c>
      <c r="F581" s="9">
        <v>0.05</v>
      </c>
      <c r="G581" s="7"/>
    </row>
    <row r="582" spans="1:7" x14ac:dyDescent="0.3">
      <c r="A582" s="7">
        <v>27163</v>
      </c>
      <c r="B582" s="7" t="s">
        <v>475</v>
      </c>
      <c r="C582" s="7" t="s">
        <v>464</v>
      </c>
      <c r="D582" s="8">
        <v>283960</v>
      </c>
      <c r="E582" s="8">
        <v>43</v>
      </c>
      <c r="F582" s="9">
        <v>0</v>
      </c>
      <c r="G582" s="7" t="s">
        <v>961</v>
      </c>
    </row>
    <row r="583" spans="1:7" x14ac:dyDescent="0.3">
      <c r="A583" s="7">
        <v>47179</v>
      </c>
      <c r="B583" s="7" t="s">
        <v>27</v>
      </c>
      <c r="C583" s="7" t="s">
        <v>464</v>
      </c>
      <c r="D583" s="8">
        <v>139642</v>
      </c>
      <c r="E583" s="8">
        <v>29</v>
      </c>
      <c r="F583" s="9">
        <v>0.12</v>
      </c>
      <c r="G583" s="7"/>
    </row>
    <row r="584" spans="1:7" x14ac:dyDescent="0.3">
      <c r="A584" s="7">
        <v>44009</v>
      </c>
      <c r="B584" s="7" t="s">
        <v>543</v>
      </c>
      <c r="C584" s="7" t="s">
        <v>464</v>
      </c>
      <c r="D584" s="8">
        <v>130333</v>
      </c>
      <c r="E584" s="8">
        <v>18</v>
      </c>
      <c r="F584" s="9">
        <v>0.3</v>
      </c>
      <c r="G584" s="7"/>
    </row>
    <row r="585" spans="1:7" x14ac:dyDescent="0.3">
      <c r="A585" s="7">
        <v>42125</v>
      </c>
      <c r="B585" s="7" t="s">
        <v>19</v>
      </c>
      <c r="C585" s="7" t="s">
        <v>464</v>
      </c>
      <c r="D585" s="8">
        <v>210434</v>
      </c>
      <c r="E585" s="8">
        <v>45</v>
      </c>
      <c r="F585" s="9">
        <v>0.41</v>
      </c>
      <c r="G585" s="7" t="s">
        <v>961</v>
      </c>
    </row>
    <row r="586" spans="1:7" x14ac:dyDescent="0.3">
      <c r="A586" s="7">
        <v>41067</v>
      </c>
      <c r="B586" s="7" t="s">
        <v>21</v>
      </c>
      <c r="C586" s="7" t="s">
        <v>464</v>
      </c>
      <c r="D586" s="8">
        <v>611272</v>
      </c>
      <c r="E586" s="8">
        <v>63</v>
      </c>
      <c r="F586" s="9">
        <v>0.57999999999999996</v>
      </c>
      <c r="G586" s="7"/>
    </row>
    <row r="587" spans="1:7" x14ac:dyDescent="0.3">
      <c r="A587" s="7">
        <v>55131</v>
      </c>
      <c r="B587" s="7" t="s">
        <v>38</v>
      </c>
      <c r="C587" s="7" t="s">
        <v>464</v>
      </c>
      <c r="D587" s="8">
        <v>138727</v>
      </c>
      <c r="E587" s="8">
        <v>15</v>
      </c>
      <c r="F587" s="9">
        <v>0.14000000000000001</v>
      </c>
      <c r="G587" s="7" t="s">
        <v>961</v>
      </c>
    </row>
    <row r="588" spans="1:7" x14ac:dyDescent="0.3">
      <c r="A588" s="7">
        <v>24043</v>
      </c>
      <c r="B588" s="7" t="s">
        <v>11</v>
      </c>
      <c r="C588" s="7" t="s">
        <v>464</v>
      </c>
      <c r="D588" s="8">
        <v>157228</v>
      </c>
      <c r="E588" s="8">
        <v>51</v>
      </c>
      <c r="F588" s="9">
        <v>0.11</v>
      </c>
      <c r="G588" s="7"/>
    </row>
    <row r="589" spans="1:7" x14ac:dyDescent="0.3">
      <c r="A589" s="7">
        <v>49053</v>
      </c>
      <c r="B589" s="7" t="s">
        <v>572</v>
      </c>
      <c r="C589" s="7" t="s">
        <v>464</v>
      </c>
      <c r="D589" s="8">
        <v>207943</v>
      </c>
      <c r="E589" s="8">
        <v>46</v>
      </c>
      <c r="F589" s="9">
        <v>0.15</v>
      </c>
      <c r="G589" s="7"/>
    </row>
    <row r="590" spans="1:7" x14ac:dyDescent="0.3">
      <c r="A590" s="7">
        <v>5143</v>
      </c>
      <c r="B590" s="7" t="s">
        <v>588</v>
      </c>
      <c r="C590" s="7" t="s">
        <v>464</v>
      </c>
      <c r="D590" s="8">
        <v>266184</v>
      </c>
      <c r="E590" s="8">
        <v>15</v>
      </c>
      <c r="F590" s="9">
        <v>0.1</v>
      </c>
      <c r="G590" s="7"/>
    </row>
    <row r="591" spans="1:7" x14ac:dyDescent="0.3">
      <c r="A591" s="7">
        <v>32031</v>
      </c>
      <c r="B591" s="7" t="s">
        <v>45</v>
      </c>
      <c r="C591" s="7" t="s">
        <v>44</v>
      </c>
      <c r="D591" s="8">
        <v>507280</v>
      </c>
      <c r="E591" s="8">
        <v>180</v>
      </c>
      <c r="F591" s="9">
        <v>0.78</v>
      </c>
      <c r="G591" s="7"/>
    </row>
    <row r="592" spans="1:7" x14ac:dyDescent="0.3">
      <c r="A592" s="7">
        <v>26161</v>
      </c>
      <c r="B592" s="7" t="s">
        <v>480</v>
      </c>
      <c r="C592" s="7" t="s">
        <v>832</v>
      </c>
      <c r="D592" s="8">
        <v>373875</v>
      </c>
      <c r="E592" s="8">
        <v>41</v>
      </c>
      <c r="F592" s="9">
        <v>0.24</v>
      </c>
      <c r="G592" s="7" t="s">
        <v>961</v>
      </c>
    </row>
    <row r="593" spans="1:7" x14ac:dyDescent="0.3">
      <c r="A593" s="7">
        <v>55133</v>
      </c>
      <c r="B593" s="7" t="s">
        <v>38</v>
      </c>
      <c r="C593" s="7" t="s">
        <v>874</v>
      </c>
      <c r="D593" s="8">
        <v>417029</v>
      </c>
      <c r="E593" s="8">
        <v>37</v>
      </c>
      <c r="F593" s="9">
        <v>0.89</v>
      </c>
      <c r="G593" s="7" t="s">
        <v>961</v>
      </c>
    </row>
    <row r="594" spans="1:7" x14ac:dyDescent="0.3">
      <c r="A594" s="7">
        <v>39169</v>
      </c>
      <c r="B594" s="7" t="s">
        <v>447</v>
      </c>
      <c r="C594" s="7" t="s">
        <v>516</v>
      </c>
      <c r="D594" s="8">
        <v>116632</v>
      </c>
      <c r="E594" s="8">
        <v>12</v>
      </c>
      <c r="F594" s="9">
        <v>0.08</v>
      </c>
      <c r="G594" s="7"/>
    </row>
    <row r="595" spans="1:7" x14ac:dyDescent="0.3">
      <c r="A595" s="7">
        <v>37191</v>
      </c>
      <c r="B595" s="7" t="s">
        <v>467</v>
      </c>
      <c r="C595" s="7" t="s">
        <v>516</v>
      </c>
      <c r="D595" s="8">
        <v>120338</v>
      </c>
      <c r="E595" s="8">
        <v>16</v>
      </c>
      <c r="F595" s="9">
        <v>1.25</v>
      </c>
      <c r="G595" s="7" t="s">
        <v>961</v>
      </c>
    </row>
    <row r="596" spans="1:7" x14ac:dyDescent="0.3">
      <c r="A596" s="7">
        <v>26163</v>
      </c>
      <c r="B596" s="7" t="s">
        <v>480</v>
      </c>
      <c r="C596" s="7" t="s">
        <v>516</v>
      </c>
      <c r="D596" s="8">
        <v>1771063</v>
      </c>
      <c r="E596" s="8">
        <v>481</v>
      </c>
      <c r="F596" s="9">
        <v>0.85</v>
      </c>
      <c r="G596" s="7" t="s">
        <v>961</v>
      </c>
    </row>
    <row r="597" spans="1:7" x14ac:dyDescent="0.3">
      <c r="A597" s="7">
        <v>48479</v>
      </c>
      <c r="B597" s="7" t="s">
        <v>604</v>
      </c>
      <c r="C597" s="7" t="s">
        <v>894</v>
      </c>
      <c r="D597" s="8">
        <v>272823</v>
      </c>
      <c r="E597" s="8">
        <v>17</v>
      </c>
      <c r="F597" s="9">
        <v>0.57999999999999996</v>
      </c>
      <c r="G597" s="7"/>
    </row>
    <row r="598" spans="1:7" x14ac:dyDescent="0.3">
      <c r="A598" s="7">
        <v>49057</v>
      </c>
      <c r="B598" s="7" t="s">
        <v>572</v>
      </c>
      <c r="C598" s="7" t="s">
        <v>580</v>
      </c>
      <c r="D598" s="8">
        <v>276118</v>
      </c>
      <c r="E598" s="8">
        <v>63</v>
      </c>
      <c r="F598" s="9">
        <v>0.48</v>
      </c>
      <c r="G598" s="7" t="s">
        <v>961</v>
      </c>
    </row>
    <row r="599" spans="1:7" x14ac:dyDescent="0.3">
      <c r="A599" s="7">
        <v>8123</v>
      </c>
      <c r="B599" s="7" t="s">
        <v>17</v>
      </c>
      <c r="C599" s="7" t="s">
        <v>668</v>
      </c>
      <c r="D599" s="8">
        <v>369745</v>
      </c>
      <c r="E599" s="8">
        <v>67</v>
      </c>
      <c r="F599" s="9">
        <v>0.04</v>
      </c>
      <c r="G599" s="7" t="s">
        <v>961</v>
      </c>
    </row>
    <row r="600" spans="1:7" x14ac:dyDescent="0.3">
      <c r="A600" s="7">
        <v>36119</v>
      </c>
      <c r="B600" s="7" t="s">
        <v>32</v>
      </c>
      <c r="C600" s="7" t="s">
        <v>854</v>
      </c>
      <c r="D600" s="8">
        <v>1006447</v>
      </c>
      <c r="E600" s="8">
        <v>99</v>
      </c>
      <c r="F600" s="9">
        <v>0.19</v>
      </c>
      <c r="G600" s="7" t="s">
        <v>961</v>
      </c>
    </row>
    <row r="601" spans="1:7" x14ac:dyDescent="0.3">
      <c r="A601" s="7">
        <v>9190</v>
      </c>
      <c r="B601" s="7" t="s">
        <v>907</v>
      </c>
      <c r="C601" s="7" t="s">
        <v>980</v>
      </c>
      <c r="D601" s="8">
        <v>637013</v>
      </c>
      <c r="E601" s="8"/>
      <c r="F601" s="9"/>
      <c r="G601" s="7"/>
    </row>
    <row r="602" spans="1:7" x14ac:dyDescent="0.3">
      <c r="A602" s="7">
        <v>42129</v>
      </c>
      <c r="B602" s="7" t="s">
        <v>19</v>
      </c>
      <c r="C602" s="7" t="s">
        <v>511</v>
      </c>
      <c r="D602" s="8">
        <v>350935</v>
      </c>
      <c r="E602" s="8">
        <v>96</v>
      </c>
      <c r="F602" s="9">
        <v>0.17</v>
      </c>
      <c r="G602" s="7" t="s">
        <v>961</v>
      </c>
    </row>
    <row r="603" spans="1:7" x14ac:dyDescent="0.3">
      <c r="A603" s="10">
        <v>53073</v>
      </c>
      <c r="B603" s="10" t="s">
        <v>13</v>
      </c>
      <c r="C603" s="10" t="s">
        <v>269</v>
      </c>
      <c r="D603" s="11">
        <v>234954</v>
      </c>
      <c r="E603" s="11">
        <v>83</v>
      </c>
      <c r="F603" s="12">
        <v>0.14000000000000001</v>
      </c>
      <c r="G603" s="10"/>
    </row>
    <row r="604" spans="1:7" x14ac:dyDescent="0.3">
      <c r="A604" s="7">
        <v>13313</v>
      </c>
      <c r="B604" s="7" t="s">
        <v>469</v>
      </c>
      <c r="C604" s="7" t="s">
        <v>804</v>
      </c>
      <c r="D604" s="8">
        <v>105070</v>
      </c>
      <c r="E604" s="8">
        <v>13</v>
      </c>
      <c r="F604" s="9">
        <v>0.22</v>
      </c>
      <c r="G604" s="7" t="s">
        <v>961</v>
      </c>
    </row>
    <row r="605" spans="1:7" x14ac:dyDescent="0.3">
      <c r="A605" s="7">
        <v>48485</v>
      </c>
      <c r="B605" s="7" t="s">
        <v>604</v>
      </c>
      <c r="C605" s="7" t="s">
        <v>678</v>
      </c>
      <c r="D605" s="8">
        <v>129984</v>
      </c>
      <c r="E605" s="8">
        <v>23</v>
      </c>
      <c r="F605" s="9">
        <v>0</v>
      </c>
      <c r="G605" s="7" t="s">
        <v>961</v>
      </c>
    </row>
    <row r="606" spans="1:7" x14ac:dyDescent="0.3">
      <c r="A606" s="7">
        <v>24045</v>
      </c>
      <c r="B606" s="7" t="s">
        <v>11</v>
      </c>
      <c r="C606" s="7" t="s">
        <v>583</v>
      </c>
      <c r="D606" s="8">
        <v>106329</v>
      </c>
      <c r="E606" s="8">
        <v>24</v>
      </c>
      <c r="F606" s="9">
        <v>0.28000000000000003</v>
      </c>
      <c r="G606" s="7"/>
    </row>
    <row r="607" spans="1:7" x14ac:dyDescent="0.3">
      <c r="A607" s="7">
        <v>17197</v>
      </c>
      <c r="B607" s="7" t="s">
        <v>262</v>
      </c>
      <c r="C607" s="7" t="s">
        <v>841</v>
      </c>
      <c r="D607" s="8">
        <v>708583</v>
      </c>
      <c r="E607" s="8">
        <v>75</v>
      </c>
      <c r="F607" s="9">
        <v>0.02</v>
      </c>
      <c r="G607" s="7"/>
    </row>
    <row r="608" spans="1:7" x14ac:dyDescent="0.3">
      <c r="A608" s="7">
        <v>48491</v>
      </c>
      <c r="B608" s="7" t="s">
        <v>604</v>
      </c>
      <c r="C608" s="7" t="s">
        <v>851</v>
      </c>
      <c r="D608" s="8">
        <v>727480</v>
      </c>
      <c r="E608" s="8">
        <v>73</v>
      </c>
      <c r="F608" s="9">
        <v>0.05</v>
      </c>
      <c r="G608" s="7" t="s">
        <v>961</v>
      </c>
    </row>
    <row r="609" spans="1:7" x14ac:dyDescent="0.3">
      <c r="A609" s="7">
        <v>47187</v>
      </c>
      <c r="B609" s="7" t="s">
        <v>27</v>
      </c>
      <c r="C609" s="7" t="s">
        <v>851</v>
      </c>
      <c r="D609" s="8">
        <v>269136</v>
      </c>
      <c r="E609" s="8">
        <v>27</v>
      </c>
      <c r="F609" s="9">
        <v>0.06</v>
      </c>
      <c r="G609" s="7"/>
    </row>
    <row r="610" spans="1:7" x14ac:dyDescent="0.3">
      <c r="A610" s="7">
        <v>47189</v>
      </c>
      <c r="B610" s="7" t="s">
        <v>27</v>
      </c>
      <c r="C610" s="7" t="s">
        <v>619</v>
      </c>
      <c r="D610" s="8">
        <v>169948</v>
      </c>
      <c r="E610" s="8">
        <v>35</v>
      </c>
      <c r="F610" s="9">
        <v>0</v>
      </c>
      <c r="G610" s="7"/>
    </row>
    <row r="611" spans="1:7" x14ac:dyDescent="0.3">
      <c r="A611" s="7">
        <v>17201</v>
      </c>
      <c r="B611" s="7" t="s">
        <v>262</v>
      </c>
      <c r="C611" s="7" t="s">
        <v>637</v>
      </c>
      <c r="D611" s="8">
        <v>283790</v>
      </c>
      <c r="E611" s="8">
        <v>56</v>
      </c>
      <c r="F611" s="9">
        <v>0.03</v>
      </c>
      <c r="G611" s="7"/>
    </row>
    <row r="612" spans="1:7" x14ac:dyDescent="0.3">
      <c r="A612" s="7">
        <v>55139</v>
      </c>
      <c r="B612" s="7" t="s">
        <v>38</v>
      </c>
      <c r="C612" s="7" t="s">
        <v>637</v>
      </c>
      <c r="D612" s="8">
        <v>173307</v>
      </c>
      <c r="E612" s="8">
        <v>23</v>
      </c>
      <c r="F612" s="9">
        <v>0.06</v>
      </c>
      <c r="G612" s="7"/>
    </row>
    <row r="613" spans="1:7" x14ac:dyDescent="0.3">
      <c r="A613" s="7">
        <v>39173</v>
      </c>
      <c r="B613" s="7" t="s">
        <v>447</v>
      </c>
      <c r="C613" s="7" t="s">
        <v>885</v>
      </c>
      <c r="D613" s="8">
        <v>133077</v>
      </c>
      <c r="E613" s="8">
        <v>11</v>
      </c>
      <c r="F613" s="9">
        <v>0.08</v>
      </c>
      <c r="G613" s="7" t="s">
        <v>961</v>
      </c>
    </row>
    <row r="614" spans="1:7" x14ac:dyDescent="0.3">
      <c r="A614" s="7">
        <v>19193</v>
      </c>
      <c r="B614" s="7" t="s">
        <v>627</v>
      </c>
      <c r="C614" s="7" t="s">
        <v>660</v>
      </c>
      <c r="D614" s="8">
        <v>107257</v>
      </c>
      <c r="E614" s="8">
        <v>20</v>
      </c>
      <c r="F614" s="9">
        <v>0</v>
      </c>
      <c r="G614" s="7" t="s">
        <v>961</v>
      </c>
    </row>
    <row r="615" spans="1:7" x14ac:dyDescent="0.3">
      <c r="A615" s="7">
        <v>25027</v>
      </c>
      <c r="B615" s="7" t="s">
        <v>453</v>
      </c>
      <c r="C615" s="7" t="s">
        <v>621</v>
      </c>
      <c r="D615" s="8">
        <v>881248</v>
      </c>
      <c r="E615" s="8">
        <v>181</v>
      </c>
      <c r="F615" s="9">
        <v>0.12</v>
      </c>
      <c r="G615" s="7"/>
    </row>
    <row r="616" spans="1:7" x14ac:dyDescent="0.3">
      <c r="A616" s="7">
        <v>27171</v>
      </c>
      <c r="B616" s="7" t="s">
        <v>475</v>
      </c>
      <c r="C616" s="7" t="s">
        <v>981</v>
      </c>
      <c r="D616" s="8">
        <v>154593</v>
      </c>
      <c r="E616" s="8"/>
      <c r="F616" s="9">
        <v>0</v>
      </c>
      <c r="G616" s="7"/>
    </row>
    <row r="617" spans="1:7" x14ac:dyDescent="0.3">
      <c r="A617" s="7">
        <v>20209</v>
      </c>
      <c r="B617" s="7" t="s">
        <v>267</v>
      </c>
      <c r="C617" s="7" t="s">
        <v>456</v>
      </c>
      <c r="D617" s="8">
        <v>169418</v>
      </c>
      <c r="E617" s="8">
        <v>56</v>
      </c>
      <c r="F617" s="9">
        <v>0</v>
      </c>
      <c r="G617" s="7"/>
    </row>
    <row r="618" spans="1:7" x14ac:dyDescent="0.3">
      <c r="A618" s="10">
        <v>53077</v>
      </c>
      <c r="B618" s="10" t="s">
        <v>13</v>
      </c>
      <c r="C618" s="10" t="s">
        <v>234</v>
      </c>
      <c r="D618" s="11">
        <v>258523</v>
      </c>
      <c r="E618" s="11">
        <v>123</v>
      </c>
      <c r="F618" s="12">
        <v>0.22</v>
      </c>
      <c r="G618" s="10" t="s">
        <v>961</v>
      </c>
    </row>
    <row r="619" spans="1:7" x14ac:dyDescent="0.3">
      <c r="A619" s="7">
        <v>41071</v>
      </c>
      <c r="B619" s="7" t="s">
        <v>21</v>
      </c>
      <c r="C619" s="7" t="s">
        <v>686</v>
      </c>
      <c r="D619" s="8">
        <v>110886</v>
      </c>
      <c r="E619" s="8">
        <v>19</v>
      </c>
      <c r="F619" s="9">
        <v>0.18</v>
      </c>
      <c r="G619" s="7"/>
    </row>
    <row r="620" spans="1:7" x14ac:dyDescent="0.3">
      <c r="A620" s="7">
        <v>4025</v>
      </c>
      <c r="B620" s="7" t="s">
        <v>43</v>
      </c>
      <c r="C620" s="7" t="s">
        <v>517</v>
      </c>
      <c r="D620" s="8">
        <v>252013</v>
      </c>
      <c r="E620" s="8">
        <v>68</v>
      </c>
      <c r="F620" s="9">
        <v>0.11</v>
      </c>
      <c r="G620" s="7"/>
    </row>
    <row r="621" spans="1:7" x14ac:dyDescent="0.3">
      <c r="A621" s="7">
        <v>30111</v>
      </c>
      <c r="B621" s="7" t="s">
        <v>623</v>
      </c>
      <c r="C621" s="7" t="s">
        <v>622</v>
      </c>
      <c r="D621" s="8">
        <v>171583</v>
      </c>
      <c r="E621" s="8">
        <v>35</v>
      </c>
      <c r="F621" s="9">
        <v>0</v>
      </c>
      <c r="G621" s="7" t="s">
        <v>961</v>
      </c>
    </row>
    <row r="622" spans="1:7" x14ac:dyDescent="0.3">
      <c r="A622" s="7">
        <v>6113</v>
      </c>
      <c r="B622" s="7" t="s">
        <v>15</v>
      </c>
      <c r="C622" s="7" t="s">
        <v>676</v>
      </c>
      <c r="D622" s="8">
        <v>225251</v>
      </c>
      <c r="E622" s="8">
        <v>40</v>
      </c>
      <c r="F622" s="9">
        <v>0</v>
      </c>
      <c r="G622" s="7"/>
    </row>
    <row r="623" spans="1:7" x14ac:dyDescent="0.3">
      <c r="A623" s="7">
        <v>42133</v>
      </c>
      <c r="B623" s="7" t="s">
        <v>19</v>
      </c>
      <c r="C623" s="7" t="s">
        <v>486</v>
      </c>
      <c r="D623" s="8">
        <v>471240</v>
      </c>
      <c r="E623" s="8">
        <v>66</v>
      </c>
      <c r="F623" s="9">
        <v>0.09</v>
      </c>
      <c r="G623" s="7" t="s">
        <v>961</v>
      </c>
    </row>
    <row r="624" spans="1:7" x14ac:dyDescent="0.3">
      <c r="A624" s="7">
        <v>45091</v>
      </c>
      <c r="B624" s="7" t="s">
        <v>458</v>
      </c>
      <c r="C624" s="7" t="s">
        <v>486</v>
      </c>
      <c r="D624" s="8">
        <v>303001</v>
      </c>
      <c r="E624" s="8">
        <v>80</v>
      </c>
      <c r="F624" s="9">
        <v>0.19</v>
      </c>
      <c r="G624" s="7"/>
    </row>
    <row r="625" spans="1:7" x14ac:dyDescent="0.3">
      <c r="A625" s="7">
        <v>23031</v>
      </c>
      <c r="B625" s="7" t="s">
        <v>455</v>
      </c>
      <c r="C625" s="7" t="s">
        <v>486</v>
      </c>
      <c r="D625" s="8">
        <v>220143</v>
      </c>
      <c r="E625" s="8">
        <v>66</v>
      </c>
      <c r="F625" s="9">
        <v>0</v>
      </c>
      <c r="G625" s="7"/>
    </row>
    <row r="626" spans="1:7" x14ac:dyDescent="0.3">
      <c r="A626" s="7">
        <v>4027</v>
      </c>
      <c r="B626" s="7" t="s">
        <v>43</v>
      </c>
      <c r="C626" s="7" t="s">
        <v>677</v>
      </c>
      <c r="D626" s="8">
        <v>220310</v>
      </c>
      <c r="E626" s="8">
        <v>39</v>
      </c>
      <c r="F626" s="9">
        <v>0.11</v>
      </c>
      <c r="G626" s="7"/>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626"/>
  <sheetViews>
    <sheetView showGridLines="0" workbookViewId="0">
      <pane ySplit="5" topLeftCell="A6" activePane="bottomLeft" state="frozen"/>
      <selection pane="bottomLeft"/>
    </sheetView>
  </sheetViews>
  <sheetFormatPr defaultRowHeight="14.4" x14ac:dyDescent="0.3"/>
  <cols>
    <col min="1" max="1" width="10" customWidth="1"/>
    <col min="2" max="2" width="22" customWidth="1"/>
    <col min="3" max="3" width="32" customWidth="1"/>
    <col min="4" max="8" width="14" customWidth="1"/>
  </cols>
  <sheetData>
    <row r="1" spans="1:8" ht="17.399999999999999" customHeight="1" x14ac:dyDescent="0.3">
      <c r="A1" s="1" t="s">
        <v>982</v>
      </c>
    </row>
    <row r="2" spans="1:8" x14ac:dyDescent="0.3">
      <c r="A2" s="2" t="s">
        <v>983</v>
      </c>
    </row>
    <row r="3" spans="1:8" x14ac:dyDescent="0.3">
      <c r="A3" s="2" t="s">
        <v>984</v>
      </c>
    </row>
    <row r="5" spans="1:8" x14ac:dyDescent="0.3">
      <c r="A5" s="6" t="s">
        <v>959</v>
      </c>
      <c r="B5" s="6" t="s">
        <v>5</v>
      </c>
      <c r="C5" s="6" t="s">
        <v>4</v>
      </c>
      <c r="D5" s="6" t="s">
        <v>985</v>
      </c>
      <c r="E5" s="6" t="s">
        <v>986</v>
      </c>
      <c r="F5" s="6" t="s">
        <v>987</v>
      </c>
      <c r="G5" s="6" t="s">
        <v>988</v>
      </c>
      <c r="H5" s="6" t="s">
        <v>989</v>
      </c>
    </row>
    <row r="6" spans="1:8" x14ac:dyDescent="0.3">
      <c r="A6" s="7">
        <v>16001</v>
      </c>
      <c r="B6" s="7" t="s">
        <v>610</v>
      </c>
      <c r="C6" s="7" t="s">
        <v>764</v>
      </c>
      <c r="D6" s="8">
        <v>498301</v>
      </c>
      <c r="E6" s="8">
        <v>513098</v>
      </c>
      <c r="F6" s="8">
        <v>520788</v>
      </c>
      <c r="G6" s="8">
        <v>526690</v>
      </c>
      <c r="H6" s="8">
        <v>535799</v>
      </c>
    </row>
    <row r="7" spans="1:8" x14ac:dyDescent="0.3">
      <c r="A7" s="7">
        <v>8001</v>
      </c>
      <c r="B7" s="7" t="s">
        <v>17</v>
      </c>
      <c r="C7" s="7" t="s">
        <v>507</v>
      </c>
      <c r="D7" s="8">
        <v>520517</v>
      </c>
      <c r="E7" s="8">
        <v>523603</v>
      </c>
      <c r="F7" s="8">
        <v>528356</v>
      </c>
      <c r="G7" s="8">
        <v>535677</v>
      </c>
      <c r="H7" s="8">
        <v>542973</v>
      </c>
    </row>
    <row r="8" spans="1:8" x14ac:dyDescent="0.3">
      <c r="A8" s="7">
        <v>42001</v>
      </c>
      <c r="B8" s="7" t="s">
        <v>19</v>
      </c>
      <c r="C8" s="7" t="s">
        <v>507</v>
      </c>
      <c r="D8" s="8">
        <v>103802</v>
      </c>
      <c r="E8" s="8">
        <v>105696</v>
      </c>
      <c r="F8" s="8">
        <v>106017</v>
      </c>
      <c r="G8" s="8">
        <v>107147</v>
      </c>
      <c r="H8" s="8">
        <v>107914</v>
      </c>
    </row>
    <row r="9" spans="1:8" x14ac:dyDescent="0.3">
      <c r="A9" s="7">
        <v>45003</v>
      </c>
      <c r="B9" s="7" t="s">
        <v>458</v>
      </c>
      <c r="C9" s="7" t="s">
        <v>457</v>
      </c>
      <c r="D9" s="8">
        <v>169174</v>
      </c>
      <c r="E9" s="8">
        <v>171272</v>
      </c>
      <c r="F9" s="8">
        <v>174075</v>
      </c>
      <c r="G9" s="8">
        <v>177034</v>
      </c>
      <c r="H9" s="8">
        <v>179245</v>
      </c>
    </row>
    <row r="10" spans="1:8" x14ac:dyDescent="0.3">
      <c r="A10" s="7">
        <v>12001</v>
      </c>
      <c r="B10" s="7" t="s">
        <v>50</v>
      </c>
      <c r="C10" s="7" t="s">
        <v>727</v>
      </c>
      <c r="D10" s="8">
        <v>279765</v>
      </c>
      <c r="E10" s="8">
        <v>281710</v>
      </c>
      <c r="F10" s="8">
        <v>285241</v>
      </c>
      <c r="G10" s="8">
        <v>288962</v>
      </c>
      <c r="H10" s="8">
        <v>291782</v>
      </c>
    </row>
    <row r="11" spans="1:8" x14ac:dyDescent="0.3">
      <c r="A11" s="7">
        <v>37001</v>
      </c>
      <c r="B11" s="7" t="s">
        <v>467</v>
      </c>
      <c r="C11" s="7" t="s">
        <v>813</v>
      </c>
      <c r="D11" s="8">
        <v>171620</v>
      </c>
      <c r="E11" s="8">
        <v>173642</v>
      </c>
      <c r="F11" s="8">
        <v>176544</v>
      </c>
      <c r="G11" s="8">
        <v>179617</v>
      </c>
      <c r="H11" s="8">
        <v>183040</v>
      </c>
    </row>
    <row r="12" spans="1:8" x14ac:dyDescent="0.3">
      <c r="A12" s="7">
        <v>6001</v>
      </c>
      <c r="B12" s="7" t="s">
        <v>15</v>
      </c>
      <c r="C12" s="7" t="s">
        <v>685</v>
      </c>
      <c r="D12" s="8">
        <v>1680614</v>
      </c>
      <c r="E12" s="8">
        <v>1643856</v>
      </c>
      <c r="F12" s="8">
        <v>1635693</v>
      </c>
      <c r="G12" s="8">
        <v>1638142</v>
      </c>
      <c r="H12" s="8">
        <v>1649060</v>
      </c>
    </row>
    <row r="13" spans="1:8" x14ac:dyDescent="0.3">
      <c r="A13" s="7">
        <v>36001</v>
      </c>
      <c r="B13" s="7" t="s">
        <v>32</v>
      </c>
      <c r="C13" s="7" t="s">
        <v>731</v>
      </c>
      <c r="D13" s="8">
        <v>314024</v>
      </c>
      <c r="E13" s="8">
        <v>316817</v>
      </c>
      <c r="F13" s="8">
        <v>316287</v>
      </c>
      <c r="G13" s="8">
        <v>318000</v>
      </c>
      <c r="H13" s="8">
        <v>319964</v>
      </c>
    </row>
    <row r="14" spans="1:8" x14ac:dyDescent="0.3">
      <c r="A14" s="7">
        <v>51003</v>
      </c>
      <c r="B14" s="7" t="s">
        <v>239</v>
      </c>
      <c r="C14" s="7" t="s">
        <v>849</v>
      </c>
      <c r="D14" s="8">
        <v>112560</v>
      </c>
      <c r="E14" s="8">
        <v>113939</v>
      </c>
      <c r="F14" s="8">
        <v>114925</v>
      </c>
      <c r="G14" s="8">
        <v>115857</v>
      </c>
      <c r="H14" s="8">
        <v>117313</v>
      </c>
    </row>
    <row r="15" spans="1:8" x14ac:dyDescent="0.3">
      <c r="A15" s="7">
        <v>51510</v>
      </c>
      <c r="B15" s="7" t="s">
        <v>239</v>
      </c>
      <c r="C15" s="7" t="s">
        <v>902</v>
      </c>
      <c r="D15" s="8">
        <v>159144</v>
      </c>
      <c r="E15" s="8">
        <v>155129</v>
      </c>
      <c r="F15" s="8">
        <v>155235</v>
      </c>
      <c r="G15" s="8">
        <v>156271</v>
      </c>
      <c r="H15" s="8">
        <v>159102</v>
      </c>
    </row>
    <row r="16" spans="1:8" x14ac:dyDescent="0.3">
      <c r="A16" s="7">
        <v>26005</v>
      </c>
      <c r="B16" s="7" t="s">
        <v>480</v>
      </c>
      <c r="C16" s="7" t="s">
        <v>903</v>
      </c>
      <c r="D16" s="8">
        <v>120661</v>
      </c>
      <c r="E16" s="8">
        <v>121055</v>
      </c>
      <c r="F16" s="8">
        <v>121262</v>
      </c>
      <c r="G16" s="8">
        <v>121874</v>
      </c>
      <c r="H16" s="8">
        <v>122429</v>
      </c>
    </row>
    <row r="17" spans="1:8" x14ac:dyDescent="0.3">
      <c r="A17" s="7">
        <v>42003</v>
      </c>
      <c r="B17" s="7" t="s">
        <v>19</v>
      </c>
      <c r="C17" s="7" t="s">
        <v>494</v>
      </c>
      <c r="D17" s="8">
        <v>1249671</v>
      </c>
      <c r="E17" s="8">
        <v>1245440</v>
      </c>
      <c r="F17" s="8">
        <v>1233821</v>
      </c>
      <c r="G17" s="8">
        <v>1230138</v>
      </c>
      <c r="H17" s="8">
        <v>1231814</v>
      </c>
    </row>
    <row r="18" spans="1:8" x14ac:dyDescent="0.3">
      <c r="A18" s="7">
        <v>39003</v>
      </c>
      <c r="B18" s="7" t="s">
        <v>447</v>
      </c>
      <c r="C18" s="7" t="s">
        <v>656</v>
      </c>
      <c r="D18" s="8">
        <v>102137</v>
      </c>
      <c r="E18" s="8">
        <v>101800</v>
      </c>
      <c r="F18" s="8">
        <v>101086</v>
      </c>
      <c r="G18" s="8">
        <v>100851</v>
      </c>
      <c r="H18" s="8">
        <v>100866</v>
      </c>
    </row>
    <row r="19" spans="1:8" x14ac:dyDescent="0.3">
      <c r="A19" s="7">
        <v>18003</v>
      </c>
      <c r="B19" s="7" t="s">
        <v>35</v>
      </c>
      <c r="C19" s="7" t="s">
        <v>656</v>
      </c>
      <c r="D19" s="8">
        <v>386123</v>
      </c>
      <c r="E19" s="8">
        <v>389220</v>
      </c>
      <c r="F19" s="8">
        <v>392119</v>
      </c>
      <c r="G19" s="8">
        <v>395131</v>
      </c>
      <c r="H19" s="8">
        <v>399295</v>
      </c>
    </row>
    <row r="20" spans="1:8" x14ac:dyDescent="0.3">
      <c r="A20" s="7">
        <v>2020</v>
      </c>
      <c r="B20" s="7" t="s">
        <v>232</v>
      </c>
      <c r="C20" s="7" t="s">
        <v>231</v>
      </c>
      <c r="D20" s="8">
        <v>290905</v>
      </c>
      <c r="E20" s="8">
        <v>288921</v>
      </c>
      <c r="F20" s="8">
        <v>287520</v>
      </c>
      <c r="G20" s="8">
        <v>287932</v>
      </c>
      <c r="H20" s="8">
        <v>289600</v>
      </c>
    </row>
    <row r="21" spans="1:8" x14ac:dyDescent="0.3">
      <c r="A21" s="7">
        <v>45007</v>
      </c>
      <c r="B21" s="7" t="s">
        <v>458</v>
      </c>
      <c r="C21" s="7" t="s">
        <v>544</v>
      </c>
      <c r="D21" s="8">
        <v>204192</v>
      </c>
      <c r="E21" s="8">
        <v>206949</v>
      </c>
      <c r="F21" s="8">
        <v>210069</v>
      </c>
      <c r="G21" s="8">
        <v>213998</v>
      </c>
      <c r="H21" s="8">
        <v>217183</v>
      </c>
    </row>
    <row r="22" spans="1:8" x14ac:dyDescent="0.3">
      <c r="A22" s="7">
        <v>23001</v>
      </c>
      <c r="B22" s="7" t="s">
        <v>455</v>
      </c>
      <c r="C22" s="7" t="s">
        <v>482</v>
      </c>
      <c r="D22" s="8">
        <v>111178</v>
      </c>
      <c r="E22" s="8">
        <v>112733</v>
      </c>
      <c r="F22" s="8">
        <v>113454</v>
      </c>
      <c r="G22" s="8">
        <v>114477</v>
      </c>
      <c r="H22" s="8">
        <v>115272</v>
      </c>
    </row>
    <row r="23" spans="1:8" x14ac:dyDescent="0.3">
      <c r="A23" s="7">
        <v>24003</v>
      </c>
      <c r="B23" s="7" t="s">
        <v>11</v>
      </c>
      <c r="C23" s="7" t="s">
        <v>620</v>
      </c>
      <c r="D23" s="8">
        <v>593412</v>
      </c>
      <c r="E23" s="8">
        <v>596354</v>
      </c>
      <c r="F23" s="8">
        <v>598751</v>
      </c>
      <c r="G23" s="8">
        <v>599965</v>
      </c>
      <c r="H23" s="8">
        <v>602350</v>
      </c>
    </row>
    <row r="24" spans="1:8" x14ac:dyDescent="0.3">
      <c r="A24" s="7">
        <v>27003</v>
      </c>
      <c r="B24" s="7" t="s">
        <v>475</v>
      </c>
      <c r="C24" s="7" t="s">
        <v>749</v>
      </c>
      <c r="D24" s="8">
        <v>364502</v>
      </c>
      <c r="E24" s="8">
        <v>367835</v>
      </c>
      <c r="F24" s="8">
        <v>369479</v>
      </c>
      <c r="G24" s="8">
        <v>373090</v>
      </c>
      <c r="H24" s="8">
        <v>376840</v>
      </c>
    </row>
    <row r="25" spans="1:8" x14ac:dyDescent="0.3">
      <c r="A25" s="7">
        <v>8005</v>
      </c>
      <c r="B25" s="7" t="s">
        <v>17</v>
      </c>
      <c r="C25" s="7" t="s">
        <v>508</v>
      </c>
      <c r="D25" s="8">
        <v>655312</v>
      </c>
      <c r="E25" s="8">
        <v>656952</v>
      </c>
      <c r="F25" s="8">
        <v>658176</v>
      </c>
      <c r="G25" s="8">
        <v>661864</v>
      </c>
      <c r="H25" s="8">
        <v>666918</v>
      </c>
    </row>
    <row r="26" spans="1:8" x14ac:dyDescent="0.3">
      <c r="A26" s="7">
        <v>51013</v>
      </c>
      <c r="B26" s="7" t="s">
        <v>239</v>
      </c>
      <c r="C26" s="7" t="s">
        <v>896</v>
      </c>
      <c r="D26" s="8">
        <v>238829</v>
      </c>
      <c r="E26" s="8">
        <v>233478</v>
      </c>
      <c r="F26" s="8">
        <v>233976</v>
      </c>
      <c r="G26" s="8">
        <v>235181</v>
      </c>
      <c r="H26" s="8">
        <v>239807</v>
      </c>
    </row>
    <row r="27" spans="1:8" x14ac:dyDescent="0.3">
      <c r="A27" s="7">
        <v>22005</v>
      </c>
      <c r="B27" s="7" t="s">
        <v>24</v>
      </c>
      <c r="C27" s="7" t="s">
        <v>615</v>
      </c>
      <c r="D27" s="8">
        <v>126983</v>
      </c>
      <c r="E27" s="8">
        <v>128592</v>
      </c>
      <c r="F27" s="8">
        <v>130505</v>
      </c>
      <c r="G27" s="8">
        <v>131954</v>
      </c>
      <c r="H27" s="8">
        <v>133534</v>
      </c>
    </row>
    <row r="28" spans="1:8" x14ac:dyDescent="0.3">
      <c r="A28" s="7">
        <v>34001</v>
      </c>
      <c r="B28" s="7" t="s">
        <v>237</v>
      </c>
      <c r="C28" s="7" t="s">
        <v>236</v>
      </c>
      <c r="D28" s="8">
        <v>274196</v>
      </c>
      <c r="E28" s="8">
        <v>274991</v>
      </c>
      <c r="F28" s="8">
        <v>276111</v>
      </c>
      <c r="G28" s="8">
        <v>276937</v>
      </c>
      <c r="H28" s="8">
        <v>279114</v>
      </c>
    </row>
    <row r="29" spans="1:8" x14ac:dyDescent="0.3">
      <c r="A29" s="7">
        <v>1003</v>
      </c>
      <c r="B29" s="7" t="s">
        <v>463</v>
      </c>
      <c r="C29" s="7" t="s">
        <v>704</v>
      </c>
      <c r="D29" s="8">
        <v>233244</v>
      </c>
      <c r="E29" s="8">
        <v>239411</v>
      </c>
      <c r="F29" s="8">
        <v>246577</v>
      </c>
      <c r="G29" s="8">
        <v>254107</v>
      </c>
      <c r="H29" s="8">
        <v>261608</v>
      </c>
    </row>
    <row r="30" spans="1:8" x14ac:dyDescent="0.3">
      <c r="A30" s="7">
        <v>24005</v>
      </c>
      <c r="B30" s="7" t="s">
        <v>11</v>
      </c>
      <c r="C30" s="7" t="s">
        <v>555</v>
      </c>
      <c r="D30" s="8">
        <v>853338</v>
      </c>
      <c r="E30" s="8">
        <v>850670</v>
      </c>
      <c r="F30" s="8">
        <v>848873</v>
      </c>
      <c r="G30" s="8">
        <v>848676</v>
      </c>
      <c r="H30" s="8">
        <v>852425</v>
      </c>
    </row>
    <row r="31" spans="1:8" x14ac:dyDescent="0.3">
      <c r="A31" s="7">
        <v>24510</v>
      </c>
      <c r="B31" s="7" t="s">
        <v>11</v>
      </c>
      <c r="C31" s="7" t="s">
        <v>10</v>
      </c>
      <c r="D31" s="8">
        <v>583189</v>
      </c>
      <c r="E31" s="8">
        <v>576575</v>
      </c>
      <c r="F31" s="8">
        <v>570663</v>
      </c>
      <c r="G31" s="8">
        <v>567517</v>
      </c>
      <c r="H31" s="8">
        <v>568271</v>
      </c>
    </row>
    <row r="32" spans="1:8" x14ac:dyDescent="0.3">
      <c r="A32" s="7">
        <v>25001</v>
      </c>
      <c r="B32" s="7" t="s">
        <v>453</v>
      </c>
      <c r="C32" s="7" t="s">
        <v>747</v>
      </c>
      <c r="D32" s="8">
        <v>228060</v>
      </c>
      <c r="E32" s="8">
        <v>232379</v>
      </c>
      <c r="F32" s="8">
        <v>232571</v>
      </c>
      <c r="G32" s="8">
        <v>232759</v>
      </c>
      <c r="H32" s="8">
        <v>232570</v>
      </c>
    </row>
    <row r="33" spans="1:8" x14ac:dyDescent="0.3">
      <c r="A33" s="7">
        <v>13015</v>
      </c>
      <c r="B33" s="7" t="s">
        <v>469</v>
      </c>
      <c r="C33" s="7" t="s">
        <v>608</v>
      </c>
      <c r="D33" s="8">
        <v>109321</v>
      </c>
      <c r="E33" s="8">
        <v>110953</v>
      </c>
      <c r="F33" s="8">
        <v>112805</v>
      </c>
      <c r="G33" s="8">
        <v>114977</v>
      </c>
      <c r="H33" s="8">
        <v>117508</v>
      </c>
    </row>
    <row r="34" spans="1:8" x14ac:dyDescent="0.3">
      <c r="A34" s="7">
        <v>48021</v>
      </c>
      <c r="B34" s="7" t="s">
        <v>604</v>
      </c>
      <c r="C34" s="7" t="s">
        <v>823</v>
      </c>
      <c r="D34" s="8">
        <v>98072</v>
      </c>
      <c r="E34" s="8">
        <v>102294</v>
      </c>
      <c r="F34" s="8">
        <v>106484</v>
      </c>
      <c r="G34" s="8">
        <v>111131</v>
      </c>
      <c r="H34" s="8">
        <v>114931</v>
      </c>
    </row>
    <row r="35" spans="1:8" x14ac:dyDescent="0.3">
      <c r="A35" s="7">
        <v>26017</v>
      </c>
      <c r="B35" s="7" t="s">
        <v>480</v>
      </c>
      <c r="C35" s="7" t="s">
        <v>701</v>
      </c>
      <c r="D35" s="8">
        <v>103747</v>
      </c>
      <c r="E35" s="8">
        <v>103116</v>
      </c>
      <c r="F35" s="8">
        <v>102754</v>
      </c>
      <c r="G35" s="8">
        <v>102774</v>
      </c>
      <c r="H35" s="8">
        <v>102651</v>
      </c>
    </row>
    <row r="36" spans="1:8" x14ac:dyDescent="0.3">
      <c r="A36" s="7">
        <v>12005</v>
      </c>
      <c r="B36" s="7" t="s">
        <v>50</v>
      </c>
      <c r="C36" s="7" t="s">
        <v>701</v>
      </c>
      <c r="D36" s="8">
        <v>174543</v>
      </c>
      <c r="E36" s="8">
        <v>179548</v>
      </c>
      <c r="F36" s="8">
        <v>185732</v>
      </c>
      <c r="G36" s="8">
        <v>192422</v>
      </c>
      <c r="H36" s="8">
        <v>199718</v>
      </c>
    </row>
    <row r="37" spans="1:8" x14ac:dyDescent="0.3">
      <c r="A37" s="7">
        <v>45013</v>
      </c>
      <c r="B37" s="7" t="s">
        <v>458</v>
      </c>
      <c r="C37" s="7" t="s">
        <v>708</v>
      </c>
      <c r="D37" s="8">
        <v>187829</v>
      </c>
      <c r="E37" s="8">
        <v>191946</v>
      </c>
      <c r="F37" s="8">
        <v>195932</v>
      </c>
      <c r="G37" s="8">
        <v>198961</v>
      </c>
      <c r="H37" s="8">
        <v>201775</v>
      </c>
    </row>
    <row r="38" spans="1:8" x14ac:dyDescent="0.3">
      <c r="A38" s="7">
        <v>42007</v>
      </c>
      <c r="B38" s="7" t="s">
        <v>19</v>
      </c>
      <c r="C38" s="7" t="s">
        <v>521</v>
      </c>
      <c r="D38" s="8">
        <v>167864</v>
      </c>
      <c r="E38" s="8">
        <v>166979</v>
      </c>
      <c r="F38" s="8">
        <v>165682</v>
      </c>
      <c r="G38" s="8">
        <v>165556</v>
      </c>
      <c r="H38" s="8">
        <v>165540</v>
      </c>
    </row>
    <row r="39" spans="1:8" x14ac:dyDescent="0.3">
      <c r="A39" s="7">
        <v>48027</v>
      </c>
      <c r="B39" s="7" t="s">
        <v>604</v>
      </c>
      <c r="C39" s="7" t="s">
        <v>774</v>
      </c>
      <c r="D39" s="8">
        <v>372404</v>
      </c>
      <c r="E39" s="8">
        <v>380611</v>
      </c>
      <c r="F39" s="8">
        <v>387828</v>
      </c>
      <c r="G39" s="8">
        <v>394065</v>
      </c>
      <c r="H39" s="8">
        <v>399578</v>
      </c>
    </row>
    <row r="40" spans="1:8" x14ac:dyDescent="0.3">
      <c r="A40" s="7">
        <v>5007</v>
      </c>
      <c r="B40" s="7" t="s">
        <v>588</v>
      </c>
      <c r="C40" s="7" t="s">
        <v>448</v>
      </c>
      <c r="D40" s="8">
        <v>286621</v>
      </c>
      <c r="E40" s="8">
        <v>294168</v>
      </c>
      <c r="F40" s="8">
        <v>303558</v>
      </c>
      <c r="G40" s="8">
        <v>312248</v>
      </c>
      <c r="H40" s="8">
        <v>321566</v>
      </c>
    </row>
    <row r="41" spans="1:8" x14ac:dyDescent="0.3">
      <c r="A41" s="10">
        <v>53005</v>
      </c>
      <c r="B41" s="10" t="s">
        <v>13</v>
      </c>
      <c r="C41" s="10" t="s">
        <v>448</v>
      </c>
      <c r="D41" s="11">
        <v>207426</v>
      </c>
      <c r="E41" s="11">
        <v>210627</v>
      </c>
      <c r="F41" s="11">
        <v>212838</v>
      </c>
      <c r="G41" s="11">
        <v>215445</v>
      </c>
      <c r="H41" s="11">
        <v>218190</v>
      </c>
    </row>
    <row r="42" spans="1:8" x14ac:dyDescent="0.3">
      <c r="A42" s="7">
        <v>34003</v>
      </c>
      <c r="B42" s="7" t="s">
        <v>237</v>
      </c>
      <c r="C42" s="7" t="s">
        <v>869</v>
      </c>
      <c r="D42" s="8">
        <v>953711</v>
      </c>
      <c r="E42" s="8">
        <v>955510</v>
      </c>
      <c r="F42" s="8">
        <v>957235</v>
      </c>
      <c r="G42" s="8">
        <v>966484</v>
      </c>
      <c r="H42" s="8">
        <v>978641</v>
      </c>
    </row>
    <row r="43" spans="1:8" x14ac:dyDescent="0.3">
      <c r="A43" s="7">
        <v>45015</v>
      </c>
      <c r="B43" s="7" t="s">
        <v>458</v>
      </c>
      <c r="C43" s="7" t="s">
        <v>532</v>
      </c>
      <c r="D43" s="8">
        <v>231508</v>
      </c>
      <c r="E43" s="8">
        <v>236852</v>
      </c>
      <c r="F43" s="8">
        <v>245249</v>
      </c>
      <c r="G43" s="8">
        <v>256123</v>
      </c>
      <c r="H43" s="8">
        <v>264276</v>
      </c>
    </row>
    <row r="44" spans="1:8" x14ac:dyDescent="0.3">
      <c r="A44" s="7">
        <v>54003</v>
      </c>
      <c r="B44" s="7" t="s">
        <v>253</v>
      </c>
      <c r="C44" s="7" t="s">
        <v>532</v>
      </c>
      <c r="D44" s="8">
        <v>122699</v>
      </c>
      <c r="E44" s="8">
        <v>126194</v>
      </c>
      <c r="F44" s="8">
        <v>129538</v>
      </c>
      <c r="G44" s="8">
        <v>132851</v>
      </c>
      <c r="H44" s="8">
        <v>136287</v>
      </c>
    </row>
    <row r="45" spans="1:8" x14ac:dyDescent="0.3">
      <c r="A45" s="7">
        <v>42011</v>
      </c>
      <c r="B45" s="7" t="s">
        <v>19</v>
      </c>
      <c r="C45" s="7" t="s">
        <v>672</v>
      </c>
      <c r="D45" s="8">
        <v>428693</v>
      </c>
      <c r="E45" s="8">
        <v>429698</v>
      </c>
      <c r="F45" s="8">
        <v>432281</v>
      </c>
      <c r="G45" s="8">
        <v>435284</v>
      </c>
      <c r="H45" s="8">
        <v>439117</v>
      </c>
    </row>
    <row r="46" spans="1:8" x14ac:dyDescent="0.3">
      <c r="A46" s="7">
        <v>25003</v>
      </c>
      <c r="B46" s="7" t="s">
        <v>453</v>
      </c>
      <c r="C46" s="7" t="s">
        <v>452</v>
      </c>
      <c r="D46" s="8">
        <v>129812</v>
      </c>
      <c r="E46" s="8">
        <v>130199</v>
      </c>
      <c r="F46" s="8">
        <v>129551</v>
      </c>
      <c r="G46" s="8">
        <v>128863</v>
      </c>
      <c r="H46" s="8">
        <v>128726</v>
      </c>
    </row>
    <row r="47" spans="1:8" x14ac:dyDescent="0.3">
      <c r="A47" s="7">
        <v>35001</v>
      </c>
      <c r="B47" s="7" t="s">
        <v>29</v>
      </c>
      <c r="C47" s="7" t="s">
        <v>28</v>
      </c>
      <c r="D47" s="8">
        <v>676882</v>
      </c>
      <c r="E47" s="8">
        <v>675410</v>
      </c>
      <c r="F47" s="8">
        <v>673039</v>
      </c>
      <c r="G47" s="8">
        <v>672572</v>
      </c>
      <c r="H47" s="8">
        <v>671747</v>
      </c>
    </row>
    <row r="48" spans="1:8" x14ac:dyDescent="0.3">
      <c r="A48" s="7">
        <v>26021</v>
      </c>
      <c r="B48" s="7" t="s">
        <v>480</v>
      </c>
      <c r="C48" s="7" t="s">
        <v>654</v>
      </c>
      <c r="D48" s="8">
        <v>154426</v>
      </c>
      <c r="E48" s="8">
        <v>153598</v>
      </c>
      <c r="F48" s="8">
        <v>153064</v>
      </c>
      <c r="G48" s="8">
        <v>152651</v>
      </c>
      <c r="H48" s="8">
        <v>152703</v>
      </c>
    </row>
    <row r="49" spans="1:8" x14ac:dyDescent="0.3">
      <c r="A49" s="7">
        <v>48029</v>
      </c>
      <c r="B49" s="7" t="s">
        <v>604</v>
      </c>
      <c r="C49" s="7" t="s">
        <v>717</v>
      </c>
      <c r="D49" s="8">
        <v>2015620</v>
      </c>
      <c r="E49" s="8">
        <v>2031319</v>
      </c>
      <c r="F49" s="8">
        <v>2063840</v>
      </c>
      <c r="G49" s="8">
        <v>2098189</v>
      </c>
      <c r="H49" s="8">
        <v>2127737</v>
      </c>
    </row>
    <row r="50" spans="1:8" x14ac:dyDescent="0.3">
      <c r="A50" s="7">
        <v>13021</v>
      </c>
      <c r="B50" s="7" t="s">
        <v>469</v>
      </c>
      <c r="C50" s="7" t="s">
        <v>575</v>
      </c>
      <c r="D50" s="8">
        <v>157038</v>
      </c>
      <c r="E50" s="8">
        <v>156005</v>
      </c>
      <c r="F50" s="8">
        <v>156115</v>
      </c>
      <c r="G50" s="8">
        <v>156676</v>
      </c>
      <c r="H50" s="8">
        <v>157056</v>
      </c>
    </row>
    <row r="51" spans="1:8" x14ac:dyDescent="0.3">
      <c r="A51" s="7">
        <v>19013</v>
      </c>
      <c r="B51" s="7" t="s">
        <v>627</v>
      </c>
      <c r="C51" s="7" t="s">
        <v>871</v>
      </c>
      <c r="D51" s="8">
        <v>131049</v>
      </c>
      <c r="E51" s="8">
        <v>130587</v>
      </c>
      <c r="F51" s="8">
        <v>130081</v>
      </c>
      <c r="G51" s="8">
        <v>131179</v>
      </c>
      <c r="H51" s="8">
        <v>132348</v>
      </c>
    </row>
    <row r="52" spans="1:8" x14ac:dyDescent="0.3">
      <c r="A52" s="7">
        <v>42013</v>
      </c>
      <c r="B52" s="7" t="s">
        <v>19</v>
      </c>
      <c r="C52" s="7" t="s">
        <v>465</v>
      </c>
      <c r="D52" s="8">
        <v>122664</v>
      </c>
      <c r="E52" s="8">
        <v>122160</v>
      </c>
      <c r="F52" s="8">
        <v>120796</v>
      </c>
      <c r="G52" s="8">
        <v>120494</v>
      </c>
      <c r="H52" s="8">
        <v>120269</v>
      </c>
    </row>
    <row r="53" spans="1:8" x14ac:dyDescent="0.3">
      <c r="A53" s="7">
        <v>47009</v>
      </c>
      <c r="B53" s="7" t="s">
        <v>27</v>
      </c>
      <c r="C53" s="7" t="s">
        <v>519</v>
      </c>
      <c r="D53" s="8">
        <v>135656</v>
      </c>
      <c r="E53" s="8">
        <v>137624</v>
      </c>
      <c r="F53" s="8">
        <v>139789</v>
      </c>
      <c r="G53" s="8">
        <v>141384</v>
      </c>
      <c r="H53" s="8">
        <v>142211</v>
      </c>
    </row>
    <row r="54" spans="1:8" x14ac:dyDescent="0.3">
      <c r="A54" s="7">
        <v>16019</v>
      </c>
      <c r="B54" s="7" t="s">
        <v>610</v>
      </c>
      <c r="C54" s="7" t="s">
        <v>703</v>
      </c>
      <c r="D54" s="8">
        <v>124736</v>
      </c>
      <c r="E54" s="8">
        <v>128072</v>
      </c>
      <c r="F54" s="8">
        <v>129690</v>
      </c>
      <c r="G54" s="8">
        <v>131475</v>
      </c>
      <c r="H54" s="8">
        <v>133644</v>
      </c>
    </row>
    <row r="55" spans="1:8" x14ac:dyDescent="0.3">
      <c r="A55" s="7">
        <v>21015</v>
      </c>
      <c r="B55" s="7" t="s">
        <v>41</v>
      </c>
      <c r="C55" s="7" t="s">
        <v>835</v>
      </c>
      <c r="D55" s="8">
        <v>136476</v>
      </c>
      <c r="E55" s="8">
        <v>137707</v>
      </c>
      <c r="F55" s="8">
        <v>139377</v>
      </c>
      <c r="G55" s="8">
        <v>141511</v>
      </c>
      <c r="H55" s="8">
        <v>144135</v>
      </c>
    </row>
    <row r="56" spans="1:8" x14ac:dyDescent="0.3">
      <c r="A56" s="7">
        <v>29019</v>
      </c>
      <c r="B56" s="7" t="s">
        <v>230</v>
      </c>
      <c r="C56" s="7" t="s">
        <v>835</v>
      </c>
      <c r="D56" s="8">
        <v>184050</v>
      </c>
      <c r="E56" s="8">
        <v>186132</v>
      </c>
      <c r="F56" s="8">
        <v>187743</v>
      </c>
      <c r="G56" s="8">
        <v>190138</v>
      </c>
      <c r="H56" s="8">
        <v>192154</v>
      </c>
    </row>
    <row r="57" spans="1:8" x14ac:dyDescent="0.3">
      <c r="A57" s="7">
        <v>22015</v>
      </c>
      <c r="B57" s="7" t="s">
        <v>24</v>
      </c>
      <c r="C57" s="7" t="s">
        <v>633</v>
      </c>
      <c r="D57" s="8">
        <v>128759</v>
      </c>
      <c r="E57" s="8">
        <v>129381</v>
      </c>
      <c r="F57" s="8">
        <v>129324</v>
      </c>
      <c r="G57" s="8">
        <v>130380</v>
      </c>
      <c r="H57" s="8">
        <v>131102</v>
      </c>
    </row>
    <row r="58" spans="1:8" x14ac:dyDescent="0.3">
      <c r="A58" s="7">
        <v>8013</v>
      </c>
      <c r="B58" s="7" t="s">
        <v>17</v>
      </c>
      <c r="C58" s="7" t="s">
        <v>759</v>
      </c>
      <c r="D58" s="8">
        <v>330953</v>
      </c>
      <c r="E58" s="8">
        <v>327133</v>
      </c>
      <c r="F58" s="8">
        <v>328039</v>
      </c>
      <c r="G58" s="8">
        <v>328419</v>
      </c>
      <c r="H58" s="8">
        <v>330262</v>
      </c>
    </row>
    <row r="59" spans="1:8" x14ac:dyDescent="0.3">
      <c r="A59" s="7">
        <v>47011</v>
      </c>
      <c r="B59" s="7" t="s">
        <v>27</v>
      </c>
      <c r="C59" s="7" t="s">
        <v>462</v>
      </c>
      <c r="D59" s="8">
        <v>108831</v>
      </c>
      <c r="E59" s="8">
        <v>109766</v>
      </c>
      <c r="F59" s="8">
        <v>110814</v>
      </c>
      <c r="G59" s="8">
        <v>112132</v>
      </c>
      <c r="H59" s="8">
        <v>113782</v>
      </c>
    </row>
    <row r="60" spans="1:8" x14ac:dyDescent="0.3">
      <c r="A60" s="7">
        <v>48039</v>
      </c>
      <c r="B60" s="7" t="s">
        <v>604</v>
      </c>
      <c r="C60" s="7" t="s">
        <v>762</v>
      </c>
      <c r="D60" s="8">
        <v>373509</v>
      </c>
      <c r="E60" s="8">
        <v>379174</v>
      </c>
      <c r="F60" s="8">
        <v>388946</v>
      </c>
      <c r="G60" s="8">
        <v>401422</v>
      </c>
      <c r="H60" s="8">
        <v>413224</v>
      </c>
    </row>
    <row r="61" spans="1:8" x14ac:dyDescent="0.3">
      <c r="A61" s="7">
        <v>48041</v>
      </c>
      <c r="B61" s="7" t="s">
        <v>604</v>
      </c>
      <c r="C61" s="7" t="s">
        <v>904</v>
      </c>
      <c r="D61" s="8">
        <v>234515</v>
      </c>
      <c r="E61" s="8">
        <v>237637</v>
      </c>
      <c r="F61" s="8">
        <v>242515</v>
      </c>
      <c r="G61" s="8">
        <v>247263</v>
      </c>
      <c r="H61" s="8">
        <v>249624</v>
      </c>
    </row>
    <row r="62" spans="1:8" x14ac:dyDescent="0.3">
      <c r="A62" s="7">
        <v>12009</v>
      </c>
      <c r="B62" s="7" t="s">
        <v>50</v>
      </c>
      <c r="C62" s="7" t="s">
        <v>497</v>
      </c>
      <c r="D62" s="8">
        <v>608792</v>
      </c>
      <c r="E62" s="8">
        <v>618000</v>
      </c>
      <c r="F62" s="8">
        <v>631956</v>
      </c>
      <c r="G62" s="8">
        <v>646705</v>
      </c>
      <c r="H62" s="8">
        <v>658447</v>
      </c>
    </row>
    <row r="63" spans="1:8" x14ac:dyDescent="0.3">
      <c r="A63" s="7">
        <v>25005</v>
      </c>
      <c r="B63" s="7" t="s">
        <v>453</v>
      </c>
      <c r="C63" s="7" t="s">
        <v>602</v>
      </c>
      <c r="D63" s="8">
        <v>576776</v>
      </c>
      <c r="E63" s="8">
        <v>579729</v>
      </c>
      <c r="F63" s="8">
        <v>581201</v>
      </c>
      <c r="G63" s="8">
        <v>585053</v>
      </c>
      <c r="H63" s="8">
        <v>588593</v>
      </c>
    </row>
    <row r="64" spans="1:8" x14ac:dyDescent="0.3">
      <c r="A64" s="7">
        <v>36005</v>
      </c>
      <c r="B64" s="7" t="s">
        <v>32</v>
      </c>
      <c r="C64" s="7" t="s">
        <v>31</v>
      </c>
      <c r="D64" s="8">
        <v>1459323</v>
      </c>
      <c r="E64" s="8">
        <v>1420392</v>
      </c>
      <c r="F64" s="8">
        <v>1384189</v>
      </c>
      <c r="G64" s="8">
        <v>1375266</v>
      </c>
      <c r="H64" s="8">
        <v>1384724</v>
      </c>
    </row>
    <row r="65" spans="1:8" x14ac:dyDescent="0.3">
      <c r="A65" s="7">
        <v>36007</v>
      </c>
      <c r="B65" s="7" t="s">
        <v>32</v>
      </c>
      <c r="C65" s="7" t="s">
        <v>632</v>
      </c>
      <c r="D65" s="8">
        <v>198172</v>
      </c>
      <c r="E65" s="8">
        <v>198596</v>
      </c>
      <c r="F65" s="8">
        <v>197340</v>
      </c>
      <c r="G65" s="8">
        <v>196383</v>
      </c>
      <c r="H65" s="8">
        <v>196397</v>
      </c>
    </row>
    <row r="66" spans="1:8" x14ac:dyDescent="0.3">
      <c r="A66" s="7">
        <v>12011</v>
      </c>
      <c r="B66" s="7" t="s">
        <v>50</v>
      </c>
      <c r="C66" s="7" t="s">
        <v>755</v>
      </c>
      <c r="D66" s="8">
        <v>1943497</v>
      </c>
      <c r="E66" s="8">
        <v>1935655</v>
      </c>
      <c r="F66" s="8">
        <v>1966237</v>
      </c>
      <c r="G66" s="8">
        <v>2002786</v>
      </c>
      <c r="H66" s="8">
        <v>2037472</v>
      </c>
    </row>
    <row r="67" spans="1:8" x14ac:dyDescent="0.3">
      <c r="A67" s="7">
        <v>55009</v>
      </c>
      <c r="B67" s="7" t="s">
        <v>38</v>
      </c>
      <c r="C67" s="7" t="s">
        <v>833</v>
      </c>
      <c r="D67" s="8">
        <v>268966</v>
      </c>
      <c r="E67" s="8">
        <v>268948</v>
      </c>
      <c r="F67" s="8">
        <v>270561</v>
      </c>
      <c r="G67" s="8">
        <v>272074</v>
      </c>
      <c r="H67" s="8">
        <v>273909</v>
      </c>
    </row>
    <row r="68" spans="1:8" x14ac:dyDescent="0.3">
      <c r="A68" s="7">
        <v>37019</v>
      </c>
      <c r="B68" s="7" t="s">
        <v>467</v>
      </c>
      <c r="C68" s="7" t="s">
        <v>674</v>
      </c>
      <c r="D68" s="8">
        <v>138167</v>
      </c>
      <c r="E68" s="8">
        <v>144869</v>
      </c>
      <c r="F68" s="8">
        <v>152836</v>
      </c>
      <c r="G68" s="8">
        <v>159855</v>
      </c>
      <c r="H68" s="8">
        <v>167112</v>
      </c>
    </row>
    <row r="69" spans="1:8" x14ac:dyDescent="0.3">
      <c r="A69" s="7">
        <v>42017</v>
      </c>
      <c r="B69" s="7" t="s">
        <v>19</v>
      </c>
      <c r="C69" s="7" t="s">
        <v>671</v>
      </c>
      <c r="D69" s="8">
        <v>646190</v>
      </c>
      <c r="E69" s="8">
        <v>647489</v>
      </c>
      <c r="F69" s="8">
        <v>645871</v>
      </c>
      <c r="G69" s="8">
        <v>647625</v>
      </c>
      <c r="H69" s="8">
        <v>650131</v>
      </c>
    </row>
    <row r="70" spans="1:8" x14ac:dyDescent="0.3">
      <c r="A70" s="7">
        <v>37021</v>
      </c>
      <c r="B70" s="7" t="s">
        <v>467</v>
      </c>
      <c r="C70" s="7" t="s">
        <v>584</v>
      </c>
      <c r="D70" s="8">
        <v>269704</v>
      </c>
      <c r="E70" s="8">
        <v>271984</v>
      </c>
      <c r="F70" s="8">
        <v>274112</v>
      </c>
      <c r="G70" s="8">
        <v>276789</v>
      </c>
      <c r="H70" s="8">
        <v>279210</v>
      </c>
    </row>
    <row r="71" spans="1:8" x14ac:dyDescent="0.3">
      <c r="A71" s="7">
        <v>38015</v>
      </c>
      <c r="B71" s="7" t="s">
        <v>705</v>
      </c>
      <c r="C71" s="7" t="s">
        <v>905</v>
      </c>
      <c r="D71" s="8">
        <v>98589</v>
      </c>
      <c r="E71" s="8">
        <v>99386</v>
      </c>
      <c r="F71" s="8">
        <v>100436</v>
      </c>
      <c r="G71" s="8">
        <v>101484</v>
      </c>
      <c r="H71" s="8">
        <v>103107</v>
      </c>
    </row>
    <row r="72" spans="1:8" x14ac:dyDescent="0.3">
      <c r="A72" s="7">
        <v>34005</v>
      </c>
      <c r="B72" s="7" t="s">
        <v>237</v>
      </c>
      <c r="C72" s="7" t="s">
        <v>724</v>
      </c>
      <c r="D72" s="8">
        <v>461694</v>
      </c>
      <c r="E72" s="8">
        <v>464547</v>
      </c>
      <c r="F72" s="8">
        <v>466710</v>
      </c>
      <c r="G72" s="8">
        <v>470561</v>
      </c>
      <c r="H72" s="8">
        <v>475515</v>
      </c>
    </row>
    <row r="73" spans="1:8" x14ac:dyDescent="0.3">
      <c r="A73" s="7">
        <v>42019</v>
      </c>
      <c r="B73" s="7" t="s">
        <v>19</v>
      </c>
      <c r="C73" s="7" t="s">
        <v>541</v>
      </c>
      <c r="D73" s="8">
        <v>194069</v>
      </c>
      <c r="E73" s="8">
        <v>196773</v>
      </c>
      <c r="F73" s="8">
        <v>197422</v>
      </c>
      <c r="G73" s="8">
        <v>198665</v>
      </c>
      <c r="H73" s="8">
        <v>199341</v>
      </c>
    </row>
    <row r="74" spans="1:8" x14ac:dyDescent="0.3">
      <c r="A74" s="7">
        <v>39017</v>
      </c>
      <c r="B74" s="7" t="s">
        <v>447</v>
      </c>
      <c r="C74" s="7" t="s">
        <v>541</v>
      </c>
      <c r="D74" s="8">
        <v>390887</v>
      </c>
      <c r="E74" s="8">
        <v>387671</v>
      </c>
      <c r="F74" s="8">
        <v>390689</v>
      </c>
      <c r="G74" s="8">
        <v>395593</v>
      </c>
      <c r="H74" s="8">
        <v>399542</v>
      </c>
    </row>
    <row r="75" spans="1:8" x14ac:dyDescent="0.3">
      <c r="A75" s="7">
        <v>6007</v>
      </c>
      <c r="B75" s="7" t="s">
        <v>15</v>
      </c>
      <c r="C75" s="7" t="s">
        <v>233</v>
      </c>
      <c r="D75" s="8">
        <v>210222</v>
      </c>
      <c r="E75" s="8">
        <v>206351</v>
      </c>
      <c r="F75" s="8">
        <v>207384</v>
      </c>
      <c r="G75" s="8">
        <v>207354</v>
      </c>
      <c r="H75" s="8">
        <v>208334</v>
      </c>
    </row>
    <row r="76" spans="1:8" x14ac:dyDescent="0.3">
      <c r="A76" s="7">
        <v>37025</v>
      </c>
      <c r="B76" s="7" t="s">
        <v>467</v>
      </c>
      <c r="C76" s="7" t="s">
        <v>767</v>
      </c>
      <c r="D76" s="8">
        <v>227235</v>
      </c>
      <c r="E76" s="8">
        <v>231821</v>
      </c>
      <c r="F76" s="8">
        <v>236078</v>
      </c>
      <c r="G76" s="8">
        <v>240608</v>
      </c>
      <c r="H76" s="8">
        <v>244925</v>
      </c>
    </row>
    <row r="77" spans="1:8" x14ac:dyDescent="0.3">
      <c r="A77" s="7">
        <v>49005</v>
      </c>
      <c r="B77" s="7" t="s">
        <v>572</v>
      </c>
      <c r="C77" s="7" t="s">
        <v>889</v>
      </c>
      <c r="D77" s="8">
        <v>133629</v>
      </c>
      <c r="E77" s="8">
        <v>137470</v>
      </c>
      <c r="F77" s="8">
        <v>140450</v>
      </c>
      <c r="G77" s="8">
        <v>143193</v>
      </c>
      <c r="H77" s="8">
        <v>145487</v>
      </c>
    </row>
    <row r="78" spans="1:8" x14ac:dyDescent="0.3">
      <c r="A78" s="7">
        <v>22017</v>
      </c>
      <c r="B78" s="7" t="s">
        <v>24</v>
      </c>
      <c r="C78" s="7" t="s">
        <v>732</v>
      </c>
      <c r="D78" s="8">
        <v>236912</v>
      </c>
      <c r="E78" s="8">
        <v>232645</v>
      </c>
      <c r="F78" s="8">
        <v>229109</v>
      </c>
      <c r="G78" s="8">
        <v>226460</v>
      </c>
      <c r="H78" s="8">
        <v>224893</v>
      </c>
    </row>
    <row r="79" spans="1:8" x14ac:dyDescent="0.3">
      <c r="A79" s="7">
        <v>22019</v>
      </c>
      <c r="B79" s="7" t="s">
        <v>24</v>
      </c>
      <c r="C79" s="7" t="s">
        <v>547</v>
      </c>
      <c r="D79" s="8">
        <v>216493</v>
      </c>
      <c r="E79" s="8">
        <v>204947</v>
      </c>
      <c r="F79" s="8">
        <v>202664</v>
      </c>
      <c r="G79" s="8">
        <v>204474</v>
      </c>
      <c r="H79" s="8">
        <v>206861</v>
      </c>
    </row>
    <row r="80" spans="1:8" x14ac:dyDescent="0.3">
      <c r="A80" s="7">
        <v>26025</v>
      </c>
      <c r="B80" s="7" t="s">
        <v>480</v>
      </c>
      <c r="C80" s="7" t="s">
        <v>498</v>
      </c>
      <c r="D80" s="8">
        <v>134219</v>
      </c>
      <c r="E80" s="8">
        <v>133905</v>
      </c>
      <c r="F80" s="8">
        <v>133475</v>
      </c>
      <c r="G80" s="8">
        <v>133505</v>
      </c>
      <c r="H80" s="8">
        <v>133785</v>
      </c>
    </row>
    <row r="81" spans="1:8" x14ac:dyDescent="0.3">
      <c r="A81" s="7">
        <v>1015</v>
      </c>
      <c r="B81" s="7" t="s">
        <v>463</v>
      </c>
      <c r="C81" s="7" t="s">
        <v>498</v>
      </c>
      <c r="D81" s="8">
        <v>116242</v>
      </c>
      <c r="E81" s="8">
        <v>115633</v>
      </c>
      <c r="F81" s="8">
        <v>115744</v>
      </c>
      <c r="G81" s="8">
        <v>116403</v>
      </c>
      <c r="H81" s="8">
        <v>116427</v>
      </c>
    </row>
    <row r="82" spans="1:8" x14ac:dyDescent="0.3">
      <c r="A82" s="7">
        <v>42021</v>
      </c>
      <c r="B82" s="7" t="s">
        <v>19</v>
      </c>
      <c r="C82" s="7" t="s">
        <v>770</v>
      </c>
      <c r="D82" s="8">
        <v>133198</v>
      </c>
      <c r="E82" s="8">
        <v>132240</v>
      </c>
      <c r="F82" s="8">
        <v>131432</v>
      </c>
      <c r="G82" s="8">
        <v>130713</v>
      </c>
      <c r="H82" s="8">
        <v>130108</v>
      </c>
    </row>
    <row r="83" spans="1:8" x14ac:dyDescent="0.3">
      <c r="A83" s="7">
        <v>34007</v>
      </c>
      <c r="B83" s="7" t="s">
        <v>237</v>
      </c>
      <c r="C83" s="7" t="s">
        <v>471</v>
      </c>
      <c r="D83" s="8">
        <v>523151</v>
      </c>
      <c r="E83" s="8">
        <v>524176</v>
      </c>
      <c r="F83" s="8">
        <v>525395</v>
      </c>
      <c r="G83" s="8">
        <v>529576</v>
      </c>
      <c r="H83" s="8">
        <v>533988</v>
      </c>
    </row>
    <row r="84" spans="1:8" x14ac:dyDescent="0.3">
      <c r="A84" s="7">
        <v>48061</v>
      </c>
      <c r="B84" s="7" t="s">
        <v>604</v>
      </c>
      <c r="C84" s="7" t="s">
        <v>888</v>
      </c>
      <c r="D84" s="8">
        <v>421592</v>
      </c>
      <c r="E84" s="8">
        <v>422805</v>
      </c>
      <c r="F84" s="8">
        <v>425819</v>
      </c>
      <c r="G84" s="8">
        <v>428508</v>
      </c>
      <c r="H84" s="8">
        <v>431874</v>
      </c>
    </row>
    <row r="85" spans="1:8" x14ac:dyDescent="0.3">
      <c r="A85" s="7">
        <v>40017</v>
      </c>
      <c r="B85" s="7" t="s">
        <v>490</v>
      </c>
      <c r="C85" s="7" t="s">
        <v>877</v>
      </c>
      <c r="D85" s="8">
        <v>155445</v>
      </c>
      <c r="E85" s="8">
        <v>162029</v>
      </c>
      <c r="F85" s="8">
        <v>169507</v>
      </c>
      <c r="G85" s="8">
        <v>176184</v>
      </c>
      <c r="H85" s="8">
        <v>181760</v>
      </c>
    </row>
    <row r="86" spans="1:8" x14ac:dyDescent="0.3">
      <c r="A86" s="7">
        <v>16027</v>
      </c>
      <c r="B86" s="7" t="s">
        <v>610</v>
      </c>
      <c r="C86" s="7" t="s">
        <v>785</v>
      </c>
      <c r="D86" s="8">
        <v>233031</v>
      </c>
      <c r="E86" s="8">
        <v>243752</v>
      </c>
      <c r="F86" s="8">
        <v>251532</v>
      </c>
      <c r="G86" s="8">
        <v>258742</v>
      </c>
      <c r="H86" s="8">
        <v>266892</v>
      </c>
    </row>
    <row r="87" spans="1:8" x14ac:dyDescent="0.3">
      <c r="A87" s="7">
        <v>9110</v>
      </c>
      <c r="B87" s="7" t="s">
        <v>907</v>
      </c>
      <c r="C87" s="7" t="s">
        <v>906</v>
      </c>
      <c r="D87" s="8">
        <v>964088</v>
      </c>
      <c r="E87" s="8">
        <v>971938</v>
      </c>
      <c r="F87" s="8">
        <v>975591</v>
      </c>
      <c r="G87" s="8">
        <v>983326</v>
      </c>
      <c r="H87" s="8">
        <v>991508</v>
      </c>
    </row>
    <row r="88" spans="1:8" x14ac:dyDescent="0.3">
      <c r="A88" s="7">
        <v>13045</v>
      </c>
      <c r="B88" s="7" t="s">
        <v>469</v>
      </c>
      <c r="C88" s="7" t="s">
        <v>629</v>
      </c>
      <c r="D88" s="8">
        <v>119487</v>
      </c>
      <c r="E88" s="8">
        <v>121592</v>
      </c>
      <c r="F88" s="8">
        <v>124564</v>
      </c>
      <c r="G88" s="8">
        <v>127293</v>
      </c>
      <c r="H88" s="8">
        <v>129911</v>
      </c>
    </row>
    <row r="89" spans="1:8" x14ac:dyDescent="0.3">
      <c r="A89" s="7">
        <v>24013</v>
      </c>
      <c r="B89" s="7" t="s">
        <v>11</v>
      </c>
      <c r="C89" s="7" t="s">
        <v>629</v>
      </c>
      <c r="D89" s="8">
        <v>172910</v>
      </c>
      <c r="E89" s="8">
        <v>174282</v>
      </c>
      <c r="F89" s="8">
        <v>175569</v>
      </c>
      <c r="G89" s="8">
        <v>176735</v>
      </c>
      <c r="H89" s="8">
        <v>177108</v>
      </c>
    </row>
    <row r="90" spans="1:8" x14ac:dyDescent="0.3">
      <c r="A90" s="7">
        <v>27019</v>
      </c>
      <c r="B90" s="7" t="s">
        <v>475</v>
      </c>
      <c r="C90" s="7" t="s">
        <v>908</v>
      </c>
      <c r="D90" s="8">
        <v>107307</v>
      </c>
      <c r="E90" s="8">
        <v>108873</v>
      </c>
      <c r="F90" s="8">
        <v>110215</v>
      </c>
      <c r="G90" s="8">
        <v>111180</v>
      </c>
      <c r="H90" s="8">
        <v>112628</v>
      </c>
    </row>
    <row r="91" spans="1:8" x14ac:dyDescent="0.3">
      <c r="A91" s="7">
        <v>38017</v>
      </c>
      <c r="B91" s="7" t="s">
        <v>705</v>
      </c>
      <c r="C91" s="7" t="s">
        <v>558</v>
      </c>
      <c r="D91" s="8">
        <v>184897</v>
      </c>
      <c r="E91" s="8">
        <v>189330</v>
      </c>
      <c r="F91" s="8">
        <v>193670</v>
      </c>
      <c r="G91" s="8">
        <v>198157</v>
      </c>
      <c r="H91" s="8">
        <v>200945</v>
      </c>
    </row>
    <row r="92" spans="1:8" x14ac:dyDescent="0.3">
      <c r="A92" s="7">
        <v>29037</v>
      </c>
      <c r="B92" s="7" t="s">
        <v>230</v>
      </c>
      <c r="C92" s="7" t="s">
        <v>558</v>
      </c>
      <c r="D92" s="8">
        <v>108162</v>
      </c>
      <c r="E92" s="8">
        <v>109792</v>
      </c>
      <c r="F92" s="8">
        <v>110345</v>
      </c>
      <c r="G92" s="8">
        <v>111695</v>
      </c>
      <c r="H92" s="8">
        <v>113873</v>
      </c>
    </row>
    <row r="93" spans="1:8" x14ac:dyDescent="0.3">
      <c r="A93" s="7">
        <v>37035</v>
      </c>
      <c r="B93" s="7" t="s">
        <v>467</v>
      </c>
      <c r="C93" s="7" t="s">
        <v>466</v>
      </c>
      <c r="D93" s="8">
        <v>160889</v>
      </c>
      <c r="E93" s="8">
        <v>161682</v>
      </c>
      <c r="F93" s="8">
        <v>163286</v>
      </c>
      <c r="G93" s="8">
        <v>164955</v>
      </c>
      <c r="H93" s="8">
        <v>167054</v>
      </c>
    </row>
    <row r="94" spans="1:8" x14ac:dyDescent="0.3">
      <c r="A94" s="7">
        <v>24015</v>
      </c>
      <c r="B94" s="7" t="s">
        <v>11</v>
      </c>
      <c r="C94" s="7" t="s">
        <v>251</v>
      </c>
      <c r="D94" s="8">
        <v>103805</v>
      </c>
      <c r="E94" s="8">
        <v>104073</v>
      </c>
      <c r="F94" s="8">
        <v>104939</v>
      </c>
      <c r="G94" s="8">
        <v>105676</v>
      </c>
      <c r="H94" s="8">
        <v>106305</v>
      </c>
    </row>
    <row r="95" spans="1:8" x14ac:dyDescent="0.3">
      <c r="A95" s="7">
        <v>42027</v>
      </c>
      <c r="B95" s="7" t="s">
        <v>19</v>
      </c>
      <c r="C95" s="7" t="s">
        <v>909</v>
      </c>
      <c r="D95" s="8">
        <v>157987</v>
      </c>
      <c r="E95" s="8">
        <v>158008</v>
      </c>
      <c r="F95" s="8">
        <v>157992</v>
      </c>
      <c r="G95" s="8">
        <v>159087</v>
      </c>
      <c r="H95" s="8">
        <v>159805</v>
      </c>
    </row>
    <row r="96" spans="1:8" x14ac:dyDescent="0.3">
      <c r="A96" s="7">
        <v>17019</v>
      </c>
      <c r="B96" s="7" t="s">
        <v>262</v>
      </c>
      <c r="C96" s="7" t="s">
        <v>797</v>
      </c>
      <c r="D96" s="8">
        <v>206252</v>
      </c>
      <c r="E96" s="8">
        <v>207232</v>
      </c>
      <c r="F96" s="8">
        <v>208033</v>
      </c>
      <c r="G96" s="8">
        <v>209813</v>
      </c>
      <c r="H96" s="8">
        <v>212374</v>
      </c>
    </row>
    <row r="97" spans="1:8" x14ac:dyDescent="0.3">
      <c r="A97" s="7">
        <v>24017</v>
      </c>
      <c r="B97" s="7" t="s">
        <v>11</v>
      </c>
      <c r="C97" s="7" t="s">
        <v>857</v>
      </c>
      <c r="D97" s="8">
        <v>166692</v>
      </c>
      <c r="E97" s="8">
        <v>168822</v>
      </c>
      <c r="F97" s="8">
        <v>170376</v>
      </c>
      <c r="G97" s="8">
        <v>172268</v>
      </c>
      <c r="H97" s="8">
        <v>174478</v>
      </c>
    </row>
    <row r="98" spans="1:8" x14ac:dyDescent="0.3">
      <c r="A98" s="7">
        <v>45019</v>
      </c>
      <c r="B98" s="7" t="s">
        <v>458</v>
      </c>
      <c r="C98" s="7" t="s">
        <v>530</v>
      </c>
      <c r="D98" s="8">
        <v>409958</v>
      </c>
      <c r="E98" s="8">
        <v>414605</v>
      </c>
      <c r="F98" s="8">
        <v>419952</v>
      </c>
      <c r="G98" s="8">
        <v>425805</v>
      </c>
      <c r="H98" s="8">
        <v>431001</v>
      </c>
    </row>
    <row r="99" spans="1:8" x14ac:dyDescent="0.3">
      <c r="A99" s="7">
        <v>12015</v>
      </c>
      <c r="B99" s="7" t="s">
        <v>50</v>
      </c>
      <c r="C99" s="7" t="s">
        <v>734</v>
      </c>
      <c r="D99" s="8">
        <v>188017</v>
      </c>
      <c r="E99" s="8">
        <v>194982</v>
      </c>
      <c r="F99" s="8">
        <v>203113</v>
      </c>
      <c r="G99" s="8">
        <v>207085</v>
      </c>
      <c r="H99" s="8">
        <v>212122</v>
      </c>
    </row>
    <row r="100" spans="1:8" x14ac:dyDescent="0.3">
      <c r="A100" s="7">
        <v>13051</v>
      </c>
      <c r="B100" s="7" t="s">
        <v>469</v>
      </c>
      <c r="C100" s="7" t="s">
        <v>799</v>
      </c>
      <c r="D100" s="8">
        <v>295076</v>
      </c>
      <c r="E100" s="8">
        <v>295714</v>
      </c>
      <c r="F100" s="8">
        <v>301512</v>
      </c>
      <c r="G100" s="8">
        <v>304757</v>
      </c>
      <c r="H100" s="8">
        <v>307336</v>
      </c>
    </row>
    <row r="101" spans="1:8" x14ac:dyDescent="0.3">
      <c r="A101" s="7">
        <v>36013</v>
      </c>
      <c r="B101" s="7" t="s">
        <v>32</v>
      </c>
      <c r="C101" s="7" t="s">
        <v>542</v>
      </c>
      <c r="D101" s="8">
        <v>127370</v>
      </c>
      <c r="E101" s="8">
        <v>126192</v>
      </c>
      <c r="F101" s="8">
        <v>125310</v>
      </c>
      <c r="G101" s="8">
        <v>124742</v>
      </c>
      <c r="H101" s="8">
        <v>124105</v>
      </c>
    </row>
    <row r="102" spans="1:8" x14ac:dyDescent="0.3">
      <c r="A102" s="7">
        <v>13057</v>
      </c>
      <c r="B102" s="7" t="s">
        <v>469</v>
      </c>
      <c r="C102" s="7" t="s">
        <v>836</v>
      </c>
      <c r="D102" s="8">
        <v>268169</v>
      </c>
      <c r="E102" s="8">
        <v>274778</v>
      </c>
      <c r="F102" s="8">
        <v>281455</v>
      </c>
      <c r="G102" s="8">
        <v>287243</v>
      </c>
      <c r="H102" s="8">
        <v>293513</v>
      </c>
    </row>
    <row r="103" spans="1:8" x14ac:dyDescent="0.3">
      <c r="A103" s="7">
        <v>51550</v>
      </c>
      <c r="B103" s="7" t="s">
        <v>239</v>
      </c>
      <c r="C103" s="7" t="s">
        <v>739</v>
      </c>
      <c r="D103" s="8">
        <v>249726</v>
      </c>
      <c r="E103" s="8">
        <v>251732</v>
      </c>
      <c r="F103" s="8">
        <v>252493</v>
      </c>
      <c r="G103" s="8">
        <v>253967</v>
      </c>
      <c r="H103" s="8">
        <v>254997</v>
      </c>
    </row>
    <row r="104" spans="1:8" x14ac:dyDescent="0.3">
      <c r="A104" s="7">
        <v>42029</v>
      </c>
      <c r="B104" s="7" t="s">
        <v>19</v>
      </c>
      <c r="C104" s="7" t="s">
        <v>792</v>
      </c>
      <c r="D104" s="8">
        <v>534860</v>
      </c>
      <c r="E104" s="8">
        <v>541036</v>
      </c>
      <c r="F104" s="8">
        <v>547248</v>
      </c>
      <c r="G104" s="8">
        <v>555310</v>
      </c>
      <c r="H104" s="8">
        <v>560745</v>
      </c>
    </row>
    <row r="105" spans="1:8" x14ac:dyDescent="0.3">
      <c r="A105" s="7">
        <v>51041</v>
      </c>
      <c r="B105" s="7" t="s">
        <v>239</v>
      </c>
      <c r="C105" s="7" t="s">
        <v>793</v>
      </c>
      <c r="D105" s="8">
        <v>365350</v>
      </c>
      <c r="E105" s="8">
        <v>371022</v>
      </c>
      <c r="F105" s="8">
        <v>378488</v>
      </c>
      <c r="G105" s="8">
        <v>384693</v>
      </c>
      <c r="H105" s="8">
        <v>389793</v>
      </c>
    </row>
    <row r="106" spans="1:8" x14ac:dyDescent="0.3">
      <c r="A106" s="7">
        <v>50007</v>
      </c>
      <c r="B106" s="7" t="s">
        <v>659</v>
      </c>
      <c r="C106" s="7" t="s">
        <v>658</v>
      </c>
      <c r="D106" s="8">
        <v>168419</v>
      </c>
      <c r="E106" s="8">
        <v>169377</v>
      </c>
      <c r="F106" s="8">
        <v>170050</v>
      </c>
      <c r="G106" s="8">
        <v>170092</v>
      </c>
      <c r="H106" s="8">
        <v>170851</v>
      </c>
    </row>
    <row r="107" spans="1:8" x14ac:dyDescent="0.3">
      <c r="A107" s="7">
        <v>12017</v>
      </c>
      <c r="B107" s="7" t="s">
        <v>50</v>
      </c>
      <c r="C107" s="7" t="s">
        <v>664</v>
      </c>
      <c r="D107" s="8">
        <v>154569</v>
      </c>
      <c r="E107" s="8">
        <v>158193</v>
      </c>
      <c r="F107" s="8">
        <v>162586</v>
      </c>
      <c r="G107" s="8">
        <v>166836</v>
      </c>
      <c r="H107" s="8">
        <v>170174</v>
      </c>
    </row>
    <row r="108" spans="1:8" x14ac:dyDescent="0.3">
      <c r="A108" s="7">
        <v>41005</v>
      </c>
      <c r="B108" s="7" t="s">
        <v>21</v>
      </c>
      <c r="C108" s="7" t="s">
        <v>554</v>
      </c>
      <c r="D108" s="8">
        <v>422512</v>
      </c>
      <c r="E108" s="8">
        <v>423892</v>
      </c>
      <c r="F108" s="8">
        <v>423217</v>
      </c>
      <c r="G108" s="8">
        <v>424396</v>
      </c>
      <c r="H108" s="8">
        <v>425857</v>
      </c>
    </row>
    <row r="109" spans="1:8" x14ac:dyDescent="0.3">
      <c r="A109" s="7">
        <v>39023</v>
      </c>
      <c r="B109" s="7" t="s">
        <v>447</v>
      </c>
      <c r="C109" s="7" t="s">
        <v>461</v>
      </c>
      <c r="D109" s="8">
        <v>135894</v>
      </c>
      <c r="E109" s="8">
        <v>135490</v>
      </c>
      <c r="F109" s="8">
        <v>134686</v>
      </c>
      <c r="G109" s="8">
        <v>134735</v>
      </c>
      <c r="H109" s="8">
        <v>134985</v>
      </c>
    </row>
    <row r="110" spans="1:8" x14ac:dyDescent="0.3">
      <c r="A110" s="10">
        <v>53011</v>
      </c>
      <c r="B110" s="10" t="s">
        <v>13</v>
      </c>
      <c r="C110" s="10" t="s">
        <v>461</v>
      </c>
      <c r="D110" s="11">
        <v>505363</v>
      </c>
      <c r="E110" s="11">
        <v>512662</v>
      </c>
      <c r="F110" s="11">
        <v>517036</v>
      </c>
      <c r="G110" s="11">
        <v>522467</v>
      </c>
      <c r="H110" s="11">
        <v>527269</v>
      </c>
    </row>
    <row r="111" spans="1:8" x14ac:dyDescent="0.3">
      <c r="A111" s="7">
        <v>18019</v>
      </c>
      <c r="B111" s="7" t="s">
        <v>35</v>
      </c>
      <c r="C111" s="7" t="s">
        <v>461</v>
      </c>
      <c r="D111" s="8">
        <v>121377</v>
      </c>
      <c r="E111" s="8">
        <v>122922</v>
      </c>
      <c r="F111" s="8">
        <v>124306</v>
      </c>
      <c r="G111" s="8">
        <v>125686</v>
      </c>
      <c r="H111" s="8">
        <v>127479</v>
      </c>
    </row>
    <row r="112" spans="1:8" x14ac:dyDescent="0.3">
      <c r="A112" s="7">
        <v>32003</v>
      </c>
      <c r="B112" s="7" t="s">
        <v>45</v>
      </c>
      <c r="C112" s="7" t="s">
        <v>461</v>
      </c>
      <c r="D112" s="8">
        <v>2275970</v>
      </c>
      <c r="E112" s="8">
        <v>2296651</v>
      </c>
      <c r="F112" s="8">
        <v>2321961</v>
      </c>
      <c r="G112" s="8">
        <v>2354285</v>
      </c>
      <c r="H112" s="8">
        <v>2398871</v>
      </c>
    </row>
    <row r="113" spans="1:8" x14ac:dyDescent="0.3">
      <c r="A113" s="7">
        <v>13059</v>
      </c>
      <c r="B113" s="7" t="s">
        <v>469</v>
      </c>
      <c r="C113" s="7" t="s">
        <v>605</v>
      </c>
      <c r="D113" s="8">
        <v>128547</v>
      </c>
      <c r="E113" s="8">
        <v>129211</v>
      </c>
      <c r="F113" s="8">
        <v>129954</v>
      </c>
      <c r="G113" s="8">
        <v>130338</v>
      </c>
      <c r="H113" s="8">
        <v>129995</v>
      </c>
    </row>
    <row r="114" spans="1:8" x14ac:dyDescent="0.3">
      <c r="A114" s="7">
        <v>29047</v>
      </c>
      <c r="B114" s="7" t="s">
        <v>230</v>
      </c>
      <c r="C114" s="7" t="s">
        <v>663</v>
      </c>
      <c r="D114" s="8">
        <v>254145</v>
      </c>
      <c r="E114" s="8">
        <v>255908</v>
      </c>
      <c r="F114" s="8">
        <v>257037</v>
      </c>
      <c r="G114" s="8">
        <v>260150</v>
      </c>
      <c r="H114" s="8">
        <v>263370</v>
      </c>
    </row>
    <row r="115" spans="1:8" x14ac:dyDescent="0.3">
      <c r="A115" s="7">
        <v>12019</v>
      </c>
      <c r="B115" s="7" t="s">
        <v>50</v>
      </c>
      <c r="C115" s="7" t="s">
        <v>663</v>
      </c>
      <c r="D115" s="8">
        <v>218956</v>
      </c>
      <c r="E115" s="8">
        <v>222671</v>
      </c>
      <c r="F115" s="8">
        <v>226797</v>
      </c>
      <c r="G115" s="8">
        <v>232734</v>
      </c>
      <c r="H115" s="8">
        <v>236760</v>
      </c>
    </row>
    <row r="116" spans="1:8" x14ac:dyDescent="0.3">
      <c r="A116" s="7">
        <v>13063</v>
      </c>
      <c r="B116" s="7" t="s">
        <v>469</v>
      </c>
      <c r="C116" s="7" t="s">
        <v>773</v>
      </c>
      <c r="D116" s="8">
        <v>299440</v>
      </c>
      <c r="E116" s="8">
        <v>299234</v>
      </c>
      <c r="F116" s="8">
        <v>298862</v>
      </c>
      <c r="G116" s="8">
        <v>299380</v>
      </c>
      <c r="H116" s="8">
        <v>297703</v>
      </c>
    </row>
    <row r="117" spans="1:8" x14ac:dyDescent="0.3">
      <c r="A117" s="7">
        <v>39025</v>
      </c>
      <c r="B117" s="7" t="s">
        <v>447</v>
      </c>
      <c r="C117" s="7" t="s">
        <v>810</v>
      </c>
      <c r="D117" s="8">
        <v>208755</v>
      </c>
      <c r="E117" s="8">
        <v>209919</v>
      </c>
      <c r="F117" s="8">
        <v>210906</v>
      </c>
      <c r="G117" s="8">
        <v>212202</v>
      </c>
      <c r="H117" s="8">
        <v>214123</v>
      </c>
    </row>
    <row r="118" spans="1:8" x14ac:dyDescent="0.3">
      <c r="A118" s="7">
        <v>40027</v>
      </c>
      <c r="B118" s="7" t="s">
        <v>490</v>
      </c>
      <c r="C118" s="7" t="s">
        <v>549</v>
      </c>
      <c r="D118" s="8">
        <v>296256</v>
      </c>
      <c r="E118" s="8">
        <v>298165</v>
      </c>
      <c r="F118" s="8">
        <v>299950</v>
      </c>
      <c r="G118" s="8">
        <v>301913</v>
      </c>
      <c r="H118" s="8">
        <v>303952</v>
      </c>
    </row>
    <row r="119" spans="1:8" x14ac:dyDescent="0.3">
      <c r="A119" s="7">
        <v>37045</v>
      </c>
      <c r="B119" s="7" t="s">
        <v>467</v>
      </c>
      <c r="C119" s="7" t="s">
        <v>549</v>
      </c>
      <c r="D119" s="8">
        <v>99945</v>
      </c>
      <c r="E119" s="8">
        <v>100485</v>
      </c>
      <c r="F119" s="8">
        <v>100771</v>
      </c>
      <c r="G119" s="8">
        <v>101561</v>
      </c>
      <c r="H119" s="8">
        <v>102194</v>
      </c>
    </row>
    <row r="120" spans="1:8" x14ac:dyDescent="0.3">
      <c r="A120" s="7">
        <v>13067</v>
      </c>
      <c r="B120" s="7" t="s">
        <v>469</v>
      </c>
      <c r="C120" s="7" t="s">
        <v>794</v>
      </c>
      <c r="D120" s="8">
        <v>766383</v>
      </c>
      <c r="E120" s="8">
        <v>766747</v>
      </c>
      <c r="F120" s="8">
        <v>774162</v>
      </c>
      <c r="G120" s="8">
        <v>781208</v>
      </c>
      <c r="H120" s="8">
        <v>787538</v>
      </c>
    </row>
    <row r="121" spans="1:8" x14ac:dyDescent="0.3">
      <c r="A121" s="7">
        <v>4003</v>
      </c>
      <c r="B121" s="7" t="s">
        <v>43</v>
      </c>
      <c r="C121" s="7" t="s">
        <v>484</v>
      </c>
      <c r="D121" s="8">
        <v>125533</v>
      </c>
      <c r="E121" s="8">
        <v>126147</v>
      </c>
      <c r="F121" s="8">
        <v>125497</v>
      </c>
      <c r="G121" s="8">
        <v>124881</v>
      </c>
      <c r="H121" s="8">
        <v>125773</v>
      </c>
    </row>
    <row r="122" spans="1:8" x14ac:dyDescent="0.3">
      <c r="A122" s="7">
        <v>4005</v>
      </c>
      <c r="B122" s="7" t="s">
        <v>43</v>
      </c>
      <c r="C122" s="7" t="s">
        <v>264</v>
      </c>
      <c r="D122" s="8">
        <v>145190</v>
      </c>
      <c r="E122" s="8">
        <v>142927</v>
      </c>
      <c r="F122" s="8">
        <v>144326</v>
      </c>
      <c r="G122" s="8">
        <v>144934</v>
      </c>
      <c r="H122" s="8">
        <v>145161</v>
      </c>
    </row>
    <row r="123" spans="1:8" x14ac:dyDescent="0.3">
      <c r="A123" s="7">
        <v>12021</v>
      </c>
      <c r="B123" s="7" t="s">
        <v>50</v>
      </c>
      <c r="C123" s="7" t="s">
        <v>847</v>
      </c>
      <c r="D123" s="8">
        <v>377331</v>
      </c>
      <c r="E123" s="8">
        <v>387316</v>
      </c>
      <c r="F123" s="8">
        <v>400510</v>
      </c>
      <c r="G123" s="8">
        <v>410065</v>
      </c>
      <c r="H123" s="8">
        <v>416233</v>
      </c>
    </row>
    <row r="124" spans="1:8" x14ac:dyDescent="0.3">
      <c r="A124" s="7">
        <v>48085</v>
      </c>
      <c r="B124" s="7" t="s">
        <v>604</v>
      </c>
      <c r="C124" s="7" t="s">
        <v>891</v>
      </c>
      <c r="D124" s="8">
        <v>1075651</v>
      </c>
      <c r="E124" s="8">
        <v>1114687</v>
      </c>
      <c r="F124" s="8">
        <v>1163724</v>
      </c>
      <c r="G124" s="8">
        <v>1207964</v>
      </c>
      <c r="H124" s="8">
        <v>1254658</v>
      </c>
    </row>
    <row r="125" spans="1:8" x14ac:dyDescent="0.3">
      <c r="A125" s="7">
        <v>13073</v>
      </c>
      <c r="B125" s="7" t="s">
        <v>469</v>
      </c>
      <c r="C125" s="7" t="s">
        <v>683</v>
      </c>
      <c r="D125" s="8">
        <v>156869</v>
      </c>
      <c r="E125" s="8">
        <v>159680</v>
      </c>
      <c r="F125" s="8">
        <v>162681</v>
      </c>
      <c r="G125" s="8">
        <v>165470</v>
      </c>
      <c r="H125" s="8">
        <v>167472</v>
      </c>
    </row>
    <row r="126" spans="1:8" x14ac:dyDescent="0.3">
      <c r="A126" s="7">
        <v>48091</v>
      </c>
      <c r="B126" s="7" t="s">
        <v>604</v>
      </c>
      <c r="C126" s="7" t="s">
        <v>803</v>
      </c>
      <c r="D126" s="8">
        <v>163637</v>
      </c>
      <c r="E126" s="8">
        <v>174971</v>
      </c>
      <c r="F126" s="8">
        <v>184799</v>
      </c>
      <c r="G126" s="8">
        <v>194097</v>
      </c>
      <c r="H126" s="8">
        <v>201628</v>
      </c>
    </row>
    <row r="127" spans="1:8" x14ac:dyDescent="0.3">
      <c r="A127" s="7">
        <v>40031</v>
      </c>
      <c r="B127" s="7" t="s">
        <v>490</v>
      </c>
      <c r="C127" s="7" t="s">
        <v>489</v>
      </c>
      <c r="D127" s="8">
        <v>121144</v>
      </c>
      <c r="E127" s="8">
        <v>122325</v>
      </c>
      <c r="F127" s="8">
        <v>122390</v>
      </c>
      <c r="G127" s="8">
        <v>121868</v>
      </c>
      <c r="H127" s="8">
        <v>121396</v>
      </c>
    </row>
    <row r="128" spans="1:8" x14ac:dyDescent="0.3">
      <c r="A128" s="7">
        <v>6013</v>
      </c>
      <c r="B128" s="7" t="s">
        <v>15</v>
      </c>
      <c r="C128" s="7" t="s">
        <v>644</v>
      </c>
      <c r="D128" s="8">
        <v>1166165</v>
      </c>
      <c r="E128" s="8">
        <v>1163813</v>
      </c>
      <c r="F128" s="8">
        <v>1160296</v>
      </c>
      <c r="G128" s="8">
        <v>1162179</v>
      </c>
      <c r="H128" s="8">
        <v>1172607</v>
      </c>
    </row>
    <row r="129" spans="1:8" x14ac:dyDescent="0.3">
      <c r="A129" s="7">
        <v>17031</v>
      </c>
      <c r="B129" s="7" t="s">
        <v>262</v>
      </c>
      <c r="C129" s="7" t="s">
        <v>651</v>
      </c>
      <c r="D129" s="8">
        <v>5267072</v>
      </c>
      <c r="E129" s="8">
        <v>5185134</v>
      </c>
      <c r="F129" s="8">
        <v>5133106</v>
      </c>
      <c r="G129" s="8">
        <v>5142522</v>
      </c>
      <c r="H129" s="8">
        <v>5182617</v>
      </c>
    </row>
    <row r="130" spans="1:8" x14ac:dyDescent="0.3">
      <c r="A130" s="7">
        <v>13077</v>
      </c>
      <c r="B130" s="7" t="s">
        <v>469</v>
      </c>
      <c r="C130" s="7" t="s">
        <v>838</v>
      </c>
      <c r="D130" s="8">
        <v>146759</v>
      </c>
      <c r="E130" s="8">
        <v>149999</v>
      </c>
      <c r="F130" s="8">
        <v>153002</v>
      </c>
      <c r="G130" s="8">
        <v>156269</v>
      </c>
      <c r="H130" s="8">
        <v>158233</v>
      </c>
    </row>
    <row r="131" spans="1:8" x14ac:dyDescent="0.3">
      <c r="A131" s="10">
        <v>53015</v>
      </c>
      <c r="B131" s="10" t="s">
        <v>13</v>
      </c>
      <c r="C131" s="10" t="s">
        <v>254</v>
      </c>
      <c r="D131" s="11">
        <v>111021</v>
      </c>
      <c r="E131" s="11">
        <v>111701</v>
      </c>
      <c r="F131" s="11">
        <v>112058</v>
      </c>
      <c r="G131" s="11">
        <v>113040</v>
      </c>
      <c r="H131" s="11">
        <v>113982</v>
      </c>
    </row>
    <row r="132" spans="1:8" x14ac:dyDescent="0.3">
      <c r="A132" s="7">
        <v>5031</v>
      </c>
      <c r="B132" s="7" t="s">
        <v>588</v>
      </c>
      <c r="C132" s="7" t="s">
        <v>825</v>
      </c>
      <c r="D132" s="8">
        <v>111623</v>
      </c>
      <c r="E132" s="8">
        <v>111695</v>
      </c>
      <c r="F132" s="8">
        <v>112828</v>
      </c>
      <c r="G132" s="8">
        <v>114245</v>
      </c>
      <c r="H132" s="8">
        <v>115852</v>
      </c>
    </row>
    <row r="133" spans="1:8" x14ac:dyDescent="0.3">
      <c r="A133" s="7">
        <v>37049</v>
      </c>
      <c r="B133" s="7" t="s">
        <v>467</v>
      </c>
      <c r="C133" s="7" t="s">
        <v>531</v>
      </c>
      <c r="D133" s="8">
        <v>101505</v>
      </c>
      <c r="E133" s="8">
        <v>101667</v>
      </c>
      <c r="F133" s="8">
        <v>102392</v>
      </c>
      <c r="G133" s="8">
        <v>103329</v>
      </c>
      <c r="H133" s="8">
        <v>104167</v>
      </c>
    </row>
    <row r="134" spans="1:8" x14ac:dyDescent="0.3">
      <c r="A134" s="7">
        <v>34011</v>
      </c>
      <c r="B134" s="7" t="s">
        <v>237</v>
      </c>
      <c r="C134" s="7" t="s">
        <v>540</v>
      </c>
      <c r="D134" s="8">
        <v>153724</v>
      </c>
      <c r="E134" s="8">
        <v>152100</v>
      </c>
      <c r="F134" s="8">
        <v>151686</v>
      </c>
      <c r="G134" s="8">
        <v>153338</v>
      </c>
      <c r="H134" s="8">
        <v>155678</v>
      </c>
    </row>
    <row r="135" spans="1:8" x14ac:dyDescent="0.3">
      <c r="A135" s="7">
        <v>42041</v>
      </c>
      <c r="B135" s="7" t="s">
        <v>19</v>
      </c>
      <c r="C135" s="7" t="s">
        <v>540</v>
      </c>
      <c r="D135" s="8">
        <v>260254</v>
      </c>
      <c r="E135" s="8">
        <v>265550</v>
      </c>
      <c r="F135" s="8">
        <v>268740</v>
      </c>
      <c r="G135" s="8">
        <v>271553</v>
      </c>
      <c r="H135" s="8">
        <v>275516</v>
      </c>
    </row>
    <row r="136" spans="1:8" x14ac:dyDescent="0.3">
      <c r="A136" s="7">
        <v>37051</v>
      </c>
      <c r="B136" s="7" t="s">
        <v>467</v>
      </c>
      <c r="C136" s="7" t="s">
        <v>540</v>
      </c>
      <c r="D136" s="8">
        <v>337195</v>
      </c>
      <c r="E136" s="8">
        <v>339623</v>
      </c>
      <c r="F136" s="8">
        <v>339068</v>
      </c>
      <c r="G136" s="8">
        <v>338411</v>
      </c>
      <c r="H136" s="8">
        <v>338430</v>
      </c>
    </row>
    <row r="137" spans="1:8" x14ac:dyDescent="0.3">
      <c r="A137" s="7">
        <v>23005</v>
      </c>
      <c r="B137" s="7" t="s">
        <v>455</v>
      </c>
      <c r="C137" s="7" t="s">
        <v>540</v>
      </c>
      <c r="D137" s="8">
        <v>303606</v>
      </c>
      <c r="E137" s="8">
        <v>306152</v>
      </c>
      <c r="F137" s="8">
        <v>309309</v>
      </c>
      <c r="G137" s="8">
        <v>311258</v>
      </c>
      <c r="H137" s="8">
        <v>313809</v>
      </c>
    </row>
    <row r="138" spans="1:8" x14ac:dyDescent="0.3">
      <c r="A138" s="7">
        <v>39035</v>
      </c>
      <c r="B138" s="7" t="s">
        <v>447</v>
      </c>
      <c r="C138" s="7" t="s">
        <v>515</v>
      </c>
      <c r="D138" s="8">
        <v>1262635</v>
      </c>
      <c r="E138" s="8">
        <v>1247735</v>
      </c>
      <c r="F138" s="8">
        <v>1239720</v>
      </c>
      <c r="G138" s="8">
        <v>1238679</v>
      </c>
      <c r="H138" s="8">
        <v>1240594</v>
      </c>
    </row>
    <row r="139" spans="1:8" x14ac:dyDescent="0.3">
      <c r="A139" s="7">
        <v>27037</v>
      </c>
      <c r="B139" s="7" t="s">
        <v>475</v>
      </c>
      <c r="C139" s="7" t="s">
        <v>814</v>
      </c>
      <c r="D139" s="8">
        <v>440436</v>
      </c>
      <c r="E139" s="8">
        <v>442784</v>
      </c>
      <c r="F139" s="8">
        <v>443982</v>
      </c>
      <c r="G139" s="8">
        <v>448495</v>
      </c>
      <c r="H139" s="8">
        <v>453156</v>
      </c>
    </row>
    <row r="140" spans="1:8" x14ac:dyDescent="0.3">
      <c r="A140" s="7">
        <v>48113</v>
      </c>
      <c r="B140" s="7" t="s">
        <v>604</v>
      </c>
      <c r="C140" s="7" t="s">
        <v>603</v>
      </c>
      <c r="D140" s="8">
        <v>2610741</v>
      </c>
      <c r="E140" s="8">
        <v>2589162</v>
      </c>
      <c r="F140" s="8">
        <v>2613712</v>
      </c>
      <c r="G140" s="8">
        <v>2636254</v>
      </c>
      <c r="H140" s="8">
        <v>2656028</v>
      </c>
    </row>
    <row r="141" spans="1:8" x14ac:dyDescent="0.3">
      <c r="A141" s="7">
        <v>19049</v>
      </c>
      <c r="B141" s="7" t="s">
        <v>627</v>
      </c>
      <c r="C141" s="7" t="s">
        <v>603</v>
      </c>
      <c r="D141" s="8">
        <v>100544</v>
      </c>
      <c r="E141" s="8">
        <v>104194</v>
      </c>
      <c r="F141" s="8">
        <v>108164</v>
      </c>
      <c r="G141" s="8">
        <v>111593</v>
      </c>
      <c r="H141" s="8">
        <v>115343</v>
      </c>
    </row>
    <row r="142" spans="1:8" x14ac:dyDescent="0.3">
      <c r="A142" s="7">
        <v>55025</v>
      </c>
      <c r="B142" s="7" t="s">
        <v>38</v>
      </c>
      <c r="C142" s="7" t="s">
        <v>741</v>
      </c>
      <c r="D142" s="8">
        <v>562620</v>
      </c>
      <c r="E142" s="8">
        <v>561788</v>
      </c>
      <c r="F142" s="8">
        <v>570869</v>
      </c>
      <c r="G142" s="8">
        <v>579739</v>
      </c>
      <c r="H142" s="8">
        <v>588347</v>
      </c>
    </row>
    <row r="143" spans="1:8" x14ac:dyDescent="0.3">
      <c r="A143" s="7">
        <v>42043</v>
      </c>
      <c r="B143" s="7" t="s">
        <v>19</v>
      </c>
      <c r="C143" s="7" t="s">
        <v>687</v>
      </c>
      <c r="D143" s="8">
        <v>286717</v>
      </c>
      <c r="E143" s="8">
        <v>288286</v>
      </c>
      <c r="F143" s="8">
        <v>289049</v>
      </c>
      <c r="G143" s="8">
        <v>290886</v>
      </c>
      <c r="H143" s="8">
        <v>293029</v>
      </c>
    </row>
    <row r="144" spans="1:8" x14ac:dyDescent="0.3">
      <c r="A144" s="7">
        <v>47037</v>
      </c>
      <c r="B144" s="7" t="s">
        <v>27</v>
      </c>
      <c r="C144" s="7" t="s">
        <v>30</v>
      </c>
      <c r="D144" s="8">
        <v>716095</v>
      </c>
      <c r="E144" s="8">
        <v>700966</v>
      </c>
      <c r="F144" s="8">
        <v>711280</v>
      </c>
      <c r="G144" s="8">
        <v>719092</v>
      </c>
      <c r="H144" s="8">
        <v>729505</v>
      </c>
    </row>
    <row r="145" spans="1:8" x14ac:dyDescent="0.3">
      <c r="A145" s="7">
        <v>37057</v>
      </c>
      <c r="B145" s="7" t="s">
        <v>467</v>
      </c>
      <c r="C145" s="7" t="s">
        <v>30</v>
      </c>
      <c r="D145" s="8">
        <v>169050</v>
      </c>
      <c r="E145" s="8">
        <v>170580</v>
      </c>
      <c r="F145" s="8">
        <v>172443</v>
      </c>
      <c r="G145" s="8">
        <v>174887</v>
      </c>
      <c r="H145" s="8">
        <v>177809</v>
      </c>
    </row>
    <row r="146" spans="1:8" x14ac:dyDescent="0.3">
      <c r="A146" s="7">
        <v>21059</v>
      </c>
      <c r="B146" s="7" t="s">
        <v>41</v>
      </c>
      <c r="C146" s="7" t="s">
        <v>597</v>
      </c>
      <c r="D146" s="8">
        <v>103398</v>
      </c>
      <c r="E146" s="8">
        <v>103087</v>
      </c>
      <c r="F146" s="8">
        <v>103373</v>
      </c>
      <c r="G146" s="8">
        <v>103927</v>
      </c>
      <c r="H146" s="8">
        <v>104457</v>
      </c>
    </row>
    <row r="147" spans="1:8" x14ac:dyDescent="0.3">
      <c r="A147" s="7">
        <v>49011</v>
      </c>
      <c r="B147" s="7" t="s">
        <v>572</v>
      </c>
      <c r="C147" s="7" t="s">
        <v>735</v>
      </c>
      <c r="D147" s="8">
        <v>363768</v>
      </c>
      <c r="E147" s="8">
        <v>367529</v>
      </c>
      <c r="F147" s="8">
        <v>370424</v>
      </c>
      <c r="G147" s="8">
        <v>374430</v>
      </c>
      <c r="H147" s="8">
        <v>378470</v>
      </c>
    </row>
    <row r="148" spans="1:8" x14ac:dyDescent="0.3">
      <c r="A148" s="7">
        <v>13089</v>
      </c>
      <c r="B148" s="7" t="s">
        <v>469</v>
      </c>
      <c r="C148" s="7" t="s">
        <v>707</v>
      </c>
      <c r="D148" s="8">
        <v>764630</v>
      </c>
      <c r="E148" s="8">
        <v>759333</v>
      </c>
      <c r="F148" s="8">
        <v>764440</v>
      </c>
      <c r="G148" s="8">
        <v>768047</v>
      </c>
      <c r="H148" s="8">
        <v>770307</v>
      </c>
    </row>
    <row r="149" spans="1:8" x14ac:dyDescent="0.3">
      <c r="A149" s="7">
        <v>17037</v>
      </c>
      <c r="B149" s="7" t="s">
        <v>262</v>
      </c>
      <c r="C149" s="7" t="s">
        <v>707</v>
      </c>
      <c r="D149" s="8">
        <v>100368</v>
      </c>
      <c r="E149" s="8">
        <v>100584</v>
      </c>
      <c r="F149" s="8">
        <v>100569</v>
      </c>
      <c r="G149" s="8">
        <v>100661</v>
      </c>
      <c r="H149" s="8">
        <v>101335</v>
      </c>
    </row>
    <row r="150" spans="1:8" x14ac:dyDescent="0.3">
      <c r="A150" s="7">
        <v>28033</v>
      </c>
      <c r="B150" s="7" t="s">
        <v>257</v>
      </c>
      <c r="C150" s="7" t="s">
        <v>730</v>
      </c>
      <c r="D150" s="8">
        <v>186129</v>
      </c>
      <c r="E150" s="8">
        <v>188957</v>
      </c>
      <c r="F150" s="8">
        <v>191585</v>
      </c>
      <c r="G150" s="8">
        <v>193961</v>
      </c>
      <c r="H150" s="8">
        <v>195871</v>
      </c>
    </row>
    <row r="151" spans="1:8" x14ac:dyDescent="0.3">
      <c r="A151" s="7">
        <v>42045</v>
      </c>
      <c r="B151" s="7" t="s">
        <v>19</v>
      </c>
      <c r="C151" s="7" t="s">
        <v>450</v>
      </c>
      <c r="D151" s="8">
        <v>576523</v>
      </c>
      <c r="E151" s="8">
        <v>577126</v>
      </c>
      <c r="F151" s="8">
        <v>577040</v>
      </c>
      <c r="G151" s="8">
        <v>580538</v>
      </c>
      <c r="H151" s="8">
        <v>584882</v>
      </c>
    </row>
    <row r="152" spans="1:8" x14ac:dyDescent="0.3">
      <c r="A152" s="7">
        <v>39041</v>
      </c>
      <c r="B152" s="7" t="s">
        <v>447</v>
      </c>
      <c r="C152" s="7" t="s">
        <v>450</v>
      </c>
      <c r="D152" s="8">
        <v>215162</v>
      </c>
      <c r="E152" s="8">
        <v>221304</v>
      </c>
      <c r="F152" s="8">
        <v>227008</v>
      </c>
      <c r="G152" s="8">
        <v>232732</v>
      </c>
      <c r="H152" s="8">
        <v>237966</v>
      </c>
    </row>
    <row r="153" spans="1:8" x14ac:dyDescent="0.3">
      <c r="A153" s="7">
        <v>18035</v>
      </c>
      <c r="B153" s="7" t="s">
        <v>35</v>
      </c>
      <c r="C153" s="7" t="s">
        <v>450</v>
      </c>
      <c r="D153" s="8">
        <v>111757</v>
      </c>
      <c r="E153" s="8">
        <v>112059</v>
      </c>
      <c r="F153" s="8">
        <v>112183</v>
      </c>
      <c r="G153" s="8">
        <v>112448</v>
      </c>
      <c r="H153" s="8">
        <v>112951</v>
      </c>
    </row>
    <row r="154" spans="1:8" x14ac:dyDescent="0.3">
      <c r="A154" s="7">
        <v>48121</v>
      </c>
      <c r="B154" s="7" t="s">
        <v>604</v>
      </c>
      <c r="C154" s="7" t="s">
        <v>850</v>
      </c>
      <c r="D154" s="8">
        <v>914510</v>
      </c>
      <c r="E154" s="8">
        <v>944086</v>
      </c>
      <c r="F154" s="8">
        <v>980355</v>
      </c>
      <c r="G154" s="8">
        <v>1013736</v>
      </c>
      <c r="H154" s="8">
        <v>1045120</v>
      </c>
    </row>
    <row r="155" spans="1:8" x14ac:dyDescent="0.3">
      <c r="A155" s="7">
        <v>8031</v>
      </c>
      <c r="B155" s="7" t="s">
        <v>17</v>
      </c>
      <c r="C155" s="7" t="s">
        <v>22</v>
      </c>
      <c r="D155" s="8">
        <v>717620</v>
      </c>
      <c r="E155" s="8">
        <v>711530</v>
      </c>
      <c r="F155" s="8">
        <v>714851</v>
      </c>
      <c r="G155" s="8">
        <v>721367</v>
      </c>
      <c r="H155" s="8">
        <v>729019</v>
      </c>
    </row>
    <row r="156" spans="1:8" x14ac:dyDescent="0.3">
      <c r="A156" s="7">
        <v>41017</v>
      </c>
      <c r="B156" s="7" t="s">
        <v>21</v>
      </c>
      <c r="C156" s="7" t="s">
        <v>822</v>
      </c>
      <c r="D156" s="8">
        <v>199470</v>
      </c>
      <c r="E156" s="8">
        <v>205318</v>
      </c>
      <c r="F156" s="8">
        <v>206491</v>
      </c>
      <c r="G156" s="8">
        <v>208857</v>
      </c>
      <c r="H156" s="8">
        <v>211535</v>
      </c>
    </row>
    <row r="157" spans="1:8" x14ac:dyDescent="0.3">
      <c r="A157" s="7">
        <v>11001</v>
      </c>
      <c r="B157" s="7" t="s">
        <v>36</v>
      </c>
      <c r="C157" s="7" t="s">
        <v>36</v>
      </c>
      <c r="D157" s="8">
        <v>670917</v>
      </c>
      <c r="E157" s="8">
        <v>669256</v>
      </c>
      <c r="F157" s="8">
        <v>676725</v>
      </c>
      <c r="G157" s="8">
        <v>687324</v>
      </c>
      <c r="H157" s="8">
        <v>702250</v>
      </c>
    </row>
    <row r="158" spans="1:8" x14ac:dyDescent="0.3">
      <c r="A158" s="7">
        <v>45035</v>
      </c>
      <c r="B158" s="7" t="s">
        <v>458</v>
      </c>
      <c r="C158" s="7" t="s">
        <v>600</v>
      </c>
      <c r="D158" s="8">
        <v>162059</v>
      </c>
      <c r="E158" s="8">
        <v>163484</v>
      </c>
      <c r="F158" s="8">
        <v>166029</v>
      </c>
      <c r="G158" s="8">
        <v>169770</v>
      </c>
      <c r="H158" s="8">
        <v>174663</v>
      </c>
    </row>
    <row r="159" spans="1:8" x14ac:dyDescent="0.3">
      <c r="A159" s="7">
        <v>8035</v>
      </c>
      <c r="B159" s="7" t="s">
        <v>17</v>
      </c>
      <c r="C159" s="7" t="s">
        <v>496</v>
      </c>
      <c r="D159" s="8">
        <v>360327</v>
      </c>
      <c r="E159" s="8">
        <v>369826</v>
      </c>
      <c r="F159" s="8">
        <v>376462</v>
      </c>
      <c r="G159" s="8">
        <v>385141</v>
      </c>
      <c r="H159" s="8">
        <v>393995</v>
      </c>
    </row>
    <row r="160" spans="1:8" x14ac:dyDescent="0.3">
      <c r="A160" s="7">
        <v>13097</v>
      </c>
      <c r="B160" s="7" t="s">
        <v>469</v>
      </c>
      <c r="C160" s="7" t="s">
        <v>496</v>
      </c>
      <c r="D160" s="8">
        <v>144678</v>
      </c>
      <c r="E160" s="8">
        <v>145786</v>
      </c>
      <c r="F160" s="8">
        <v>147690</v>
      </c>
      <c r="G160" s="8">
        <v>149401</v>
      </c>
      <c r="H160" s="8">
        <v>151887</v>
      </c>
    </row>
    <row r="161" spans="1:8" x14ac:dyDescent="0.3">
      <c r="A161" s="7">
        <v>41019</v>
      </c>
      <c r="B161" s="7" t="s">
        <v>21</v>
      </c>
      <c r="C161" s="7" t="s">
        <v>496</v>
      </c>
      <c r="D161" s="8">
        <v>111292</v>
      </c>
      <c r="E161" s="8">
        <v>112153</v>
      </c>
      <c r="F161" s="8">
        <v>112226</v>
      </c>
      <c r="G161" s="8">
        <v>112435</v>
      </c>
      <c r="H161" s="8">
        <v>112255</v>
      </c>
    </row>
    <row r="162" spans="1:8" x14ac:dyDescent="0.3">
      <c r="A162" s="7">
        <v>31055</v>
      </c>
      <c r="B162" s="7" t="s">
        <v>868</v>
      </c>
      <c r="C162" s="7" t="s">
        <v>496</v>
      </c>
      <c r="D162" s="8">
        <v>585451</v>
      </c>
      <c r="E162" s="8">
        <v>585534</v>
      </c>
      <c r="F162" s="8">
        <v>587894</v>
      </c>
      <c r="G162" s="8">
        <v>593645</v>
      </c>
      <c r="H162" s="8">
        <v>601158</v>
      </c>
    </row>
    <row r="163" spans="1:8" x14ac:dyDescent="0.3">
      <c r="A163" s="7">
        <v>20045</v>
      </c>
      <c r="B163" s="7" t="s">
        <v>267</v>
      </c>
      <c r="C163" s="7" t="s">
        <v>496</v>
      </c>
      <c r="D163" s="8">
        <v>118787</v>
      </c>
      <c r="E163" s="8">
        <v>119503</v>
      </c>
      <c r="F163" s="8">
        <v>120053</v>
      </c>
      <c r="G163" s="8">
        <v>121179</v>
      </c>
      <c r="H163" s="8">
        <v>121989</v>
      </c>
    </row>
    <row r="164" spans="1:8" x14ac:dyDescent="0.3">
      <c r="A164" s="7">
        <v>35013</v>
      </c>
      <c r="B164" s="7" t="s">
        <v>29</v>
      </c>
      <c r="C164" s="7" t="s">
        <v>499</v>
      </c>
      <c r="D164" s="8">
        <v>220069</v>
      </c>
      <c r="E164" s="8">
        <v>221756</v>
      </c>
      <c r="F164" s="8">
        <v>223604</v>
      </c>
      <c r="G164" s="8">
        <v>226534</v>
      </c>
      <c r="H164" s="8">
        <v>229366</v>
      </c>
    </row>
    <row r="165" spans="1:8" x14ac:dyDescent="0.3">
      <c r="A165" s="7">
        <v>17043</v>
      </c>
      <c r="B165" s="7" t="s">
        <v>262</v>
      </c>
      <c r="C165" s="7" t="s">
        <v>886</v>
      </c>
      <c r="D165" s="8">
        <v>931508</v>
      </c>
      <c r="E165" s="8">
        <v>927145</v>
      </c>
      <c r="F165" s="8">
        <v>925143</v>
      </c>
      <c r="G165" s="8">
        <v>929180</v>
      </c>
      <c r="H165" s="8">
        <v>937142</v>
      </c>
    </row>
    <row r="166" spans="1:8" x14ac:dyDescent="0.3">
      <c r="A166" s="7">
        <v>37063</v>
      </c>
      <c r="B166" s="7" t="s">
        <v>467</v>
      </c>
      <c r="C166" s="7" t="s">
        <v>710</v>
      </c>
      <c r="D166" s="8">
        <v>322505</v>
      </c>
      <c r="E166" s="8">
        <v>326826</v>
      </c>
      <c r="F166" s="8">
        <v>331568</v>
      </c>
      <c r="G166" s="8">
        <v>337238</v>
      </c>
      <c r="H166" s="8">
        <v>343628</v>
      </c>
    </row>
    <row r="167" spans="1:8" x14ac:dyDescent="0.3">
      <c r="A167" s="7">
        <v>36027</v>
      </c>
      <c r="B167" s="7" t="s">
        <v>32</v>
      </c>
      <c r="C167" s="7" t="s">
        <v>566</v>
      </c>
      <c r="D167" s="8">
        <v>295913</v>
      </c>
      <c r="E167" s="8">
        <v>298816</v>
      </c>
      <c r="F167" s="8">
        <v>298186</v>
      </c>
      <c r="G167" s="8">
        <v>298224</v>
      </c>
      <c r="H167" s="8">
        <v>299963</v>
      </c>
    </row>
    <row r="168" spans="1:8" x14ac:dyDescent="0.3">
      <c r="A168" s="7">
        <v>12031</v>
      </c>
      <c r="B168" s="7" t="s">
        <v>50</v>
      </c>
      <c r="C168" s="7" t="s">
        <v>559</v>
      </c>
      <c r="D168" s="8">
        <v>997826</v>
      </c>
      <c r="E168" s="8">
        <v>1002908</v>
      </c>
      <c r="F168" s="8">
        <v>1021040</v>
      </c>
      <c r="G168" s="8">
        <v>1038833</v>
      </c>
      <c r="H168" s="8">
        <v>1055159</v>
      </c>
    </row>
    <row r="169" spans="1:8" x14ac:dyDescent="0.3">
      <c r="A169" s="7">
        <v>22033</v>
      </c>
      <c r="B169" s="7" t="s">
        <v>24</v>
      </c>
      <c r="C169" s="7" t="s">
        <v>534</v>
      </c>
      <c r="D169" s="8">
        <v>455916</v>
      </c>
      <c r="E169" s="8">
        <v>453685</v>
      </c>
      <c r="F169" s="8">
        <v>451122</v>
      </c>
      <c r="G169" s="8">
        <v>450943</v>
      </c>
      <c r="H169" s="8">
        <v>453022</v>
      </c>
    </row>
    <row r="170" spans="1:8" x14ac:dyDescent="0.3">
      <c r="A170" s="7">
        <v>26045</v>
      </c>
      <c r="B170" s="7" t="s">
        <v>480</v>
      </c>
      <c r="C170" s="7" t="s">
        <v>748</v>
      </c>
      <c r="D170" s="8">
        <v>109199</v>
      </c>
      <c r="E170" s="8">
        <v>108921</v>
      </c>
      <c r="F170" s="8">
        <v>108962</v>
      </c>
      <c r="G170" s="8">
        <v>109072</v>
      </c>
      <c r="H170" s="8">
        <v>109494</v>
      </c>
    </row>
    <row r="171" spans="1:8" x14ac:dyDescent="0.3">
      <c r="A171" s="7">
        <v>55035</v>
      </c>
      <c r="B171" s="7" t="s">
        <v>38</v>
      </c>
      <c r="C171" s="7" t="s">
        <v>830</v>
      </c>
      <c r="D171" s="8">
        <v>105877</v>
      </c>
      <c r="E171" s="8">
        <v>105979</v>
      </c>
      <c r="F171" s="8">
        <v>106835</v>
      </c>
      <c r="G171" s="8">
        <v>108058</v>
      </c>
      <c r="H171" s="8">
        <v>108830</v>
      </c>
    </row>
    <row r="172" spans="1:8" x14ac:dyDescent="0.3">
      <c r="A172" s="7">
        <v>48135</v>
      </c>
      <c r="B172" s="7" t="s">
        <v>604</v>
      </c>
      <c r="C172" s="7" t="s">
        <v>688</v>
      </c>
      <c r="D172" s="8">
        <v>165511</v>
      </c>
      <c r="E172" s="8">
        <v>160809</v>
      </c>
      <c r="F172" s="8">
        <v>161480</v>
      </c>
      <c r="G172" s="8">
        <v>165450</v>
      </c>
      <c r="H172" s="8">
        <v>170022</v>
      </c>
    </row>
    <row r="173" spans="1:8" x14ac:dyDescent="0.3">
      <c r="A173" s="7">
        <v>6017</v>
      </c>
      <c r="B173" s="7" t="s">
        <v>15</v>
      </c>
      <c r="C173" s="7" t="s">
        <v>650</v>
      </c>
      <c r="D173" s="8">
        <v>191250</v>
      </c>
      <c r="E173" s="8">
        <v>193724</v>
      </c>
      <c r="F173" s="8">
        <v>193071</v>
      </c>
      <c r="G173" s="8">
        <v>192440</v>
      </c>
      <c r="H173" s="8">
        <v>192823</v>
      </c>
    </row>
    <row r="174" spans="1:8" x14ac:dyDescent="0.3">
      <c r="A174" s="7">
        <v>8041</v>
      </c>
      <c r="B174" s="7" t="s">
        <v>17</v>
      </c>
      <c r="C174" s="7" t="s">
        <v>16</v>
      </c>
      <c r="D174" s="8">
        <v>733804</v>
      </c>
      <c r="E174" s="8">
        <v>738811</v>
      </c>
      <c r="F174" s="8">
        <v>742676</v>
      </c>
      <c r="G174" s="8">
        <v>746934</v>
      </c>
      <c r="H174" s="8">
        <v>752772</v>
      </c>
    </row>
    <row r="175" spans="1:8" x14ac:dyDescent="0.3">
      <c r="A175" s="7">
        <v>48141</v>
      </c>
      <c r="B175" s="7" t="s">
        <v>604</v>
      </c>
      <c r="C175" s="7" t="s">
        <v>16</v>
      </c>
      <c r="D175" s="8">
        <v>866684</v>
      </c>
      <c r="E175" s="8">
        <v>867700</v>
      </c>
      <c r="F175" s="8">
        <v>868890</v>
      </c>
      <c r="G175" s="8">
        <v>874836</v>
      </c>
      <c r="H175" s="8">
        <v>875784</v>
      </c>
    </row>
    <row r="176" spans="1:8" x14ac:dyDescent="0.3">
      <c r="A176" s="7">
        <v>18039</v>
      </c>
      <c r="B176" s="7" t="s">
        <v>35</v>
      </c>
      <c r="C176" s="7" t="s">
        <v>859</v>
      </c>
      <c r="D176" s="8">
        <v>207009</v>
      </c>
      <c r="E176" s="8">
        <v>207093</v>
      </c>
      <c r="F176" s="8">
        <v>207161</v>
      </c>
      <c r="G176" s="8">
        <v>206963</v>
      </c>
      <c r="H176" s="8">
        <v>207436</v>
      </c>
    </row>
    <row r="177" spans="1:8" x14ac:dyDescent="0.3">
      <c r="A177" s="7">
        <v>48139</v>
      </c>
      <c r="B177" s="7" t="s">
        <v>604</v>
      </c>
      <c r="C177" s="7" t="s">
        <v>865</v>
      </c>
      <c r="D177" s="8">
        <v>194328</v>
      </c>
      <c r="E177" s="8">
        <v>203214</v>
      </c>
      <c r="F177" s="8">
        <v>212548</v>
      </c>
      <c r="G177" s="8">
        <v>223324</v>
      </c>
      <c r="H177" s="8">
        <v>232387</v>
      </c>
    </row>
    <row r="178" spans="1:8" x14ac:dyDescent="0.3">
      <c r="A178" s="7">
        <v>42049</v>
      </c>
      <c r="B178" s="7" t="s">
        <v>19</v>
      </c>
      <c r="C178" s="7" t="s">
        <v>581</v>
      </c>
      <c r="D178" s="8">
        <v>270739</v>
      </c>
      <c r="E178" s="8">
        <v>269455</v>
      </c>
      <c r="F178" s="8">
        <v>269112</v>
      </c>
      <c r="G178" s="8">
        <v>268203</v>
      </c>
      <c r="H178" s="8">
        <v>267750</v>
      </c>
    </row>
    <row r="179" spans="1:8" x14ac:dyDescent="0.3">
      <c r="A179" s="7">
        <v>36029</v>
      </c>
      <c r="B179" s="7" t="s">
        <v>32</v>
      </c>
      <c r="C179" s="7" t="s">
        <v>581</v>
      </c>
      <c r="D179" s="8">
        <v>952353</v>
      </c>
      <c r="E179" s="8">
        <v>953023</v>
      </c>
      <c r="F179" s="8">
        <v>948745</v>
      </c>
      <c r="G179" s="8">
        <v>948386</v>
      </c>
      <c r="H179" s="8">
        <v>950602</v>
      </c>
    </row>
    <row r="180" spans="1:8" x14ac:dyDescent="0.3">
      <c r="A180" s="7">
        <v>12033</v>
      </c>
      <c r="B180" s="7" t="s">
        <v>50</v>
      </c>
      <c r="C180" s="7" t="s">
        <v>49</v>
      </c>
      <c r="D180" s="8">
        <v>322612</v>
      </c>
      <c r="E180" s="8">
        <v>323468</v>
      </c>
      <c r="F180" s="8">
        <v>324227</v>
      </c>
      <c r="G180" s="8">
        <v>328034</v>
      </c>
      <c r="H180" s="8">
        <v>331275</v>
      </c>
    </row>
    <row r="181" spans="1:8" x14ac:dyDescent="0.3">
      <c r="A181" s="7">
        <v>25009</v>
      </c>
      <c r="B181" s="7" t="s">
        <v>453</v>
      </c>
      <c r="C181" s="7" t="s">
        <v>557</v>
      </c>
      <c r="D181" s="8">
        <v>807781</v>
      </c>
      <c r="E181" s="8">
        <v>807315</v>
      </c>
      <c r="F181" s="8">
        <v>810039</v>
      </c>
      <c r="G181" s="8">
        <v>816197</v>
      </c>
      <c r="H181" s="8">
        <v>823938</v>
      </c>
    </row>
    <row r="182" spans="1:8" x14ac:dyDescent="0.3">
      <c r="A182" s="7">
        <v>34013</v>
      </c>
      <c r="B182" s="7" t="s">
        <v>237</v>
      </c>
      <c r="C182" s="7" t="s">
        <v>557</v>
      </c>
      <c r="D182" s="8">
        <v>860020</v>
      </c>
      <c r="E182" s="8">
        <v>854416</v>
      </c>
      <c r="F182" s="8">
        <v>854738</v>
      </c>
      <c r="G182" s="8">
        <v>864310</v>
      </c>
      <c r="H182" s="8">
        <v>881527</v>
      </c>
    </row>
    <row r="183" spans="1:8" x14ac:dyDescent="0.3">
      <c r="A183" s="7">
        <v>1055</v>
      </c>
      <c r="B183" s="7" t="s">
        <v>463</v>
      </c>
      <c r="C183" s="7" t="s">
        <v>528</v>
      </c>
      <c r="D183" s="8">
        <v>103437</v>
      </c>
      <c r="E183" s="8">
        <v>102887</v>
      </c>
      <c r="F183" s="8">
        <v>102821</v>
      </c>
      <c r="G183" s="8">
        <v>103174</v>
      </c>
      <c r="H183" s="8">
        <v>103207</v>
      </c>
    </row>
    <row r="184" spans="1:8" x14ac:dyDescent="0.3">
      <c r="A184" s="7">
        <v>51059</v>
      </c>
      <c r="B184" s="7" t="s">
        <v>239</v>
      </c>
      <c r="C184" s="7" t="s">
        <v>875</v>
      </c>
      <c r="D184" s="8">
        <v>1148680</v>
      </c>
      <c r="E184" s="8">
        <v>1142381</v>
      </c>
      <c r="F184" s="8">
        <v>1140521</v>
      </c>
      <c r="G184" s="8">
        <v>1146677</v>
      </c>
      <c r="H184" s="8">
        <v>1160925</v>
      </c>
    </row>
    <row r="185" spans="1:8" x14ac:dyDescent="0.3">
      <c r="A185" s="7">
        <v>39045</v>
      </c>
      <c r="B185" s="7" t="s">
        <v>447</v>
      </c>
      <c r="C185" s="7" t="s">
        <v>596</v>
      </c>
      <c r="D185" s="8">
        <v>159464</v>
      </c>
      <c r="E185" s="8">
        <v>161245</v>
      </c>
      <c r="F185" s="8">
        <v>163166</v>
      </c>
      <c r="G185" s="8">
        <v>165630</v>
      </c>
      <c r="H185" s="8">
        <v>167762</v>
      </c>
    </row>
    <row r="186" spans="1:8" x14ac:dyDescent="0.3">
      <c r="A186" s="7">
        <v>5045</v>
      </c>
      <c r="B186" s="7" t="s">
        <v>588</v>
      </c>
      <c r="C186" s="7" t="s">
        <v>911</v>
      </c>
      <c r="D186" s="8">
        <v>123820</v>
      </c>
      <c r="E186" s="8">
        <v>125590</v>
      </c>
      <c r="F186" s="8">
        <v>127656</v>
      </c>
      <c r="G186" s="8">
        <v>129909</v>
      </c>
      <c r="H186" s="8">
        <v>131611</v>
      </c>
    </row>
    <row r="187" spans="1:8" x14ac:dyDescent="0.3">
      <c r="A187" s="7">
        <v>42051</v>
      </c>
      <c r="B187" s="7" t="s">
        <v>19</v>
      </c>
      <c r="C187" s="7" t="s">
        <v>509</v>
      </c>
      <c r="D187" s="8">
        <v>128585</v>
      </c>
      <c r="E187" s="8">
        <v>127136</v>
      </c>
      <c r="F187" s="8">
        <v>125622</v>
      </c>
      <c r="G187" s="8">
        <v>124699</v>
      </c>
      <c r="H187" s="8">
        <v>123941</v>
      </c>
    </row>
    <row r="188" spans="1:8" x14ac:dyDescent="0.3">
      <c r="A188" s="7">
        <v>21067</v>
      </c>
      <c r="B188" s="7" t="s">
        <v>41</v>
      </c>
      <c r="C188" s="7" t="s">
        <v>509</v>
      </c>
      <c r="D188" s="8">
        <v>322628</v>
      </c>
      <c r="E188" s="8">
        <v>320431</v>
      </c>
      <c r="F188" s="8">
        <v>321505</v>
      </c>
      <c r="G188" s="8">
        <v>324624</v>
      </c>
      <c r="H188" s="8">
        <v>329437</v>
      </c>
    </row>
    <row r="189" spans="1:8" x14ac:dyDescent="0.3">
      <c r="A189" s="7">
        <v>13113</v>
      </c>
      <c r="B189" s="7" t="s">
        <v>469</v>
      </c>
      <c r="C189" s="7" t="s">
        <v>509</v>
      </c>
      <c r="D189" s="8">
        <v>119512</v>
      </c>
      <c r="E189" s="8">
        <v>120751</v>
      </c>
      <c r="F189" s="8">
        <v>122150</v>
      </c>
      <c r="G189" s="8">
        <v>123698</v>
      </c>
      <c r="H189" s="8">
        <v>125107</v>
      </c>
    </row>
    <row r="190" spans="1:8" x14ac:dyDescent="0.3">
      <c r="A190" s="7">
        <v>12035</v>
      </c>
      <c r="B190" s="7" t="s">
        <v>50</v>
      </c>
      <c r="C190" s="7" t="s">
        <v>746</v>
      </c>
      <c r="D190" s="8">
        <v>116032</v>
      </c>
      <c r="E190" s="8">
        <v>120996</v>
      </c>
      <c r="F190" s="8">
        <v>126974</v>
      </c>
      <c r="G190" s="8">
        <v>131892</v>
      </c>
      <c r="H190" s="8">
        <v>136744</v>
      </c>
    </row>
    <row r="191" spans="1:8" x14ac:dyDescent="0.3">
      <c r="A191" s="7">
        <v>30029</v>
      </c>
      <c r="B191" s="7" t="s">
        <v>623</v>
      </c>
      <c r="C191" s="7" t="s">
        <v>649</v>
      </c>
      <c r="D191" s="8">
        <v>104881</v>
      </c>
      <c r="E191" s="8">
        <v>108790</v>
      </c>
      <c r="F191" s="8">
        <v>111783</v>
      </c>
      <c r="G191" s="8">
        <v>113495</v>
      </c>
      <c r="H191" s="8">
        <v>114527</v>
      </c>
    </row>
    <row r="192" spans="1:8" x14ac:dyDescent="0.3">
      <c r="A192" s="7">
        <v>45041</v>
      </c>
      <c r="B192" s="7" t="s">
        <v>458</v>
      </c>
      <c r="C192" s="7" t="s">
        <v>568</v>
      </c>
      <c r="D192" s="8">
        <v>136814</v>
      </c>
      <c r="E192" s="8">
        <v>136409</v>
      </c>
      <c r="F192" s="8">
        <v>136860</v>
      </c>
      <c r="G192" s="8">
        <v>137454</v>
      </c>
      <c r="H192" s="8">
        <v>138049</v>
      </c>
    </row>
    <row r="193" spans="1:8" x14ac:dyDescent="0.3">
      <c r="A193" s="7">
        <v>13115</v>
      </c>
      <c r="B193" s="7" t="s">
        <v>469</v>
      </c>
      <c r="C193" s="7" t="s">
        <v>657</v>
      </c>
      <c r="D193" s="8">
        <v>98583</v>
      </c>
      <c r="E193" s="8">
        <v>98498</v>
      </c>
      <c r="F193" s="8">
        <v>99586</v>
      </c>
      <c r="G193" s="8">
        <v>100407</v>
      </c>
      <c r="H193" s="8">
        <v>101390</v>
      </c>
    </row>
    <row r="194" spans="1:8" x14ac:dyDescent="0.3">
      <c r="A194" s="7">
        <v>55039</v>
      </c>
      <c r="B194" s="7" t="s">
        <v>38</v>
      </c>
      <c r="C194" s="7" t="s">
        <v>842</v>
      </c>
      <c r="D194" s="8">
        <v>104156</v>
      </c>
      <c r="E194" s="8">
        <v>104117</v>
      </c>
      <c r="F194" s="8">
        <v>104010</v>
      </c>
      <c r="G194" s="8">
        <v>104135</v>
      </c>
      <c r="H194" s="8">
        <v>104269</v>
      </c>
    </row>
    <row r="195" spans="1:8" x14ac:dyDescent="0.3">
      <c r="A195" s="7">
        <v>13117</v>
      </c>
      <c r="B195" s="7" t="s">
        <v>469</v>
      </c>
      <c r="C195" s="7" t="s">
        <v>593</v>
      </c>
      <c r="D195" s="8">
        <v>252911</v>
      </c>
      <c r="E195" s="8">
        <v>260816</v>
      </c>
      <c r="F195" s="8">
        <v>268075</v>
      </c>
      <c r="G195" s="8">
        <v>274535</v>
      </c>
      <c r="H195" s="8">
        <v>280096</v>
      </c>
    </row>
    <row r="196" spans="1:8" x14ac:dyDescent="0.3">
      <c r="A196" s="7">
        <v>37067</v>
      </c>
      <c r="B196" s="7" t="s">
        <v>467</v>
      </c>
      <c r="C196" s="7" t="s">
        <v>593</v>
      </c>
      <c r="D196" s="8">
        <v>382634</v>
      </c>
      <c r="E196" s="8">
        <v>385753</v>
      </c>
      <c r="F196" s="8">
        <v>389519</v>
      </c>
      <c r="G196" s="8">
        <v>393835</v>
      </c>
      <c r="H196" s="8">
        <v>398143</v>
      </c>
    </row>
    <row r="197" spans="1:8" x14ac:dyDescent="0.3">
      <c r="A197" s="7">
        <v>48157</v>
      </c>
      <c r="B197" s="7" t="s">
        <v>604</v>
      </c>
      <c r="C197" s="7" t="s">
        <v>900</v>
      </c>
      <c r="D197" s="8">
        <v>829335</v>
      </c>
      <c r="E197" s="8">
        <v>860626</v>
      </c>
      <c r="F197" s="8">
        <v>893319</v>
      </c>
      <c r="G197" s="8">
        <v>927120</v>
      </c>
      <c r="H197" s="8">
        <v>958434</v>
      </c>
    </row>
    <row r="198" spans="1:8" x14ac:dyDescent="0.3">
      <c r="A198" s="10">
        <v>53021</v>
      </c>
      <c r="B198" s="10" t="s">
        <v>13</v>
      </c>
      <c r="C198" s="10" t="s">
        <v>504</v>
      </c>
      <c r="D198" s="11">
        <v>97152</v>
      </c>
      <c r="E198" s="11">
        <v>98107</v>
      </c>
      <c r="F198" s="11">
        <v>98461</v>
      </c>
      <c r="G198" s="11">
        <v>99554</v>
      </c>
      <c r="H198" s="11">
        <v>101238</v>
      </c>
    </row>
    <row r="199" spans="1:8" x14ac:dyDescent="0.3">
      <c r="A199" s="7">
        <v>29071</v>
      </c>
      <c r="B199" s="7" t="s">
        <v>230</v>
      </c>
      <c r="C199" s="7" t="s">
        <v>504</v>
      </c>
      <c r="D199" s="8">
        <v>104867</v>
      </c>
      <c r="E199" s="8">
        <v>105317</v>
      </c>
      <c r="F199" s="8">
        <v>105865</v>
      </c>
      <c r="G199" s="8">
        <v>106444</v>
      </c>
      <c r="H199" s="8">
        <v>107256</v>
      </c>
    </row>
    <row r="200" spans="1:8" x14ac:dyDescent="0.3">
      <c r="A200" s="7">
        <v>42055</v>
      </c>
      <c r="B200" s="7" t="s">
        <v>19</v>
      </c>
      <c r="C200" s="7" t="s">
        <v>504</v>
      </c>
      <c r="D200" s="8">
        <v>155951</v>
      </c>
      <c r="E200" s="8">
        <v>156589</v>
      </c>
      <c r="F200" s="8">
        <v>157017</v>
      </c>
      <c r="G200" s="8">
        <v>158054</v>
      </c>
      <c r="H200" s="8">
        <v>159285</v>
      </c>
    </row>
    <row r="201" spans="1:8" x14ac:dyDescent="0.3">
      <c r="A201" s="7">
        <v>39049</v>
      </c>
      <c r="B201" s="7" t="s">
        <v>447</v>
      </c>
      <c r="C201" s="7" t="s">
        <v>504</v>
      </c>
      <c r="D201" s="8">
        <v>1324505</v>
      </c>
      <c r="E201" s="8">
        <v>1317840</v>
      </c>
      <c r="F201" s="8">
        <v>1327687</v>
      </c>
      <c r="G201" s="8">
        <v>1338903</v>
      </c>
      <c r="H201" s="8">
        <v>1356303</v>
      </c>
    </row>
    <row r="202" spans="1:8" x14ac:dyDescent="0.3">
      <c r="A202" s="7">
        <v>24021</v>
      </c>
      <c r="B202" s="7" t="s">
        <v>11</v>
      </c>
      <c r="C202" s="7" t="s">
        <v>893</v>
      </c>
      <c r="D202" s="8">
        <v>272787</v>
      </c>
      <c r="E202" s="8">
        <v>280666</v>
      </c>
      <c r="F202" s="8">
        <v>288316</v>
      </c>
      <c r="G202" s="8">
        <v>294154</v>
      </c>
      <c r="H202" s="8">
        <v>299317</v>
      </c>
    </row>
    <row r="203" spans="1:8" x14ac:dyDescent="0.3">
      <c r="A203" s="7">
        <v>6019</v>
      </c>
      <c r="B203" s="7" t="s">
        <v>15</v>
      </c>
      <c r="C203" s="7" t="s">
        <v>638</v>
      </c>
      <c r="D203" s="8">
        <v>1009613</v>
      </c>
      <c r="E203" s="8">
        <v>1012879</v>
      </c>
      <c r="F203" s="8">
        <v>1017107</v>
      </c>
      <c r="G203" s="8">
        <v>1019899</v>
      </c>
      <c r="H203" s="8">
        <v>1024125</v>
      </c>
    </row>
    <row r="204" spans="1:8" x14ac:dyDescent="0.3">
      <c r="A204" s="7">
        <v>13121</v>
      </c>
      <c r="B204" s="7" t="s">
        <v>469</v>
      </c>
      <c r="C204" s="7" t="s">
        <v>618</v>
      </c>
      <c r="D204" s="8">
        <v>1069333</v>
      </c>
      <c r="E204" s="8">
        <v>1062576</v>
      </c>
      <c r="F204" s="8">
        <v>1076569</v>
      </c>
      <c r="G204" s="8">
        <v>1083971</v>
      </c>
      <c r="H204" s="8">
        <v>1090354</v>
      </c>
    </row>
    <row r="205" spans="1:8" x14ac:dyDescent="0.3">
      <c r="A205" s="7">
        <v>30031</v>
      </c>
      <c r="B205" s="7" t="s">
        <v>623</v>
      </c>
      <c r="C205" s="7" t="s">
        <v>880</v>
      </c>
      <c r="D205" s="8">
        <v>119607</v>
      </c>
      <c r="E205" s="8">
        <v>123119</v>
      </c>
      <c r="F205" s="8">
        <v>124733</v>
      </c>
      <c r="G205" s="8">
        <v>125929</v>
      </c>
      <c r="H205" s="8">
        <v>126984</v>
      </c>
    </row>
    <row r="206" spans="1:8" x14ac:dyDescent="0.3">
      <c r="A206" s="7">
        <v>48167</v>
      </c>
      <c r="B206" s="7" t="s">
        <v>604</v>
      </c>
      <c r="C206" s="7" t="s">
        <v>715</v>
      </c>
      <c r="D206" s="8">
        <v>351606</v>
      </c>
      <c r="E206" s="8">
        <v>355616</v>
      </c>
      <c r="F206" s="8">
        <v>357735</v>
      </c>
      <c r="G206" s="8">
        <v>362586</v>
      </c>
      <c r="H206" s="8">
        <v>367407</v>
      </c>
    </row>
    <row r="207" spans="1:8" x14ac:dyDescent="0.3">
      <c r="A207" s="7">
        <v>37071</v>
      </c>
      <c r="B207" s="7" t="s">
        <v>467</v>
      </c>
      <c r="C207" s="7" t="s">
        <v>476</v>
      </c>
      <c r="D207" s="8">
        <v>228625</v>
      </c>
      <c r="E207" s="8">
        <v>231409</v>
      </c>
      <c r="F207" s="8">
        <v>234208</v>
      </c>
      <c r="G207" s="8">
        <v>238153</v>
      </c>
      <c r="H207" s="8">
        <v>242010</v>
      </c>
    </row>
    <row r="208" spans="1:8" x14ac:dyDescent="0.3">
      <c r="A208" s="7">
        <v>26049</v>
      </c>
      <c r="B208" s="7" t="s">
        <v>480</v>
      </c>
      <c r="C208" s="7" t="s">
        <v>479</v>
      </c>
      <c r="D208" s="8">
        <v>405793</v>
      </c>
      <c r="E208" s="8">
        <v>404713</v>
      </c>
      <c r="F208" s="8">
        <v>402031</v>
      </c>
      <c r="G208" s="8">
        <v>401711</v>
      </c>
      <c r="H208" s="8">
        <v>402279</v>
      </c>
    </row>
    <row r="209" spans="1:8" x14ac:dyDescent="0.3">
      <c r="A209" s="7">
        <v>34015</v>
      </c>
      <c r="B209" s="7" t="s">
        <v>237</v>
      </c>
      <c r="C209" s="7" t="s">
        <v>673</v>
      </c>
      <c r="D209" s="8">
        <v>302575</v>
      </c>
      <c r="E209" s="8">
        <v>304636</v>
      </c>
      <c r="F209" s="8">
        <v>306936</v>
      </c>
      <c r="G209" s="8">
        <v>308840</v>
      </c>
      <c r="H209" s="8">
        <v>311783</v>
      </c>
    </row>
    <row r="210" spans="1:8" x14ac:dyDescent="0.3">
      <c r="A210" s="10">
        <v>53025</v>
      </c>
      <c r="B210" s="10" t="s">
        <v>13</v>
      </c>
      <c r="C210" s="10" t="s">
        <v>268</v>
      </c>
      <c r="D210" s="11">
        <v>99445</v>
      </c>
      <c r="E210" s="11">
        <v>100437</v>
      </c>
      <c r="F210" s="11">
        <v>101308</v>
      </c>
      <c r="G210" s="11">
        <v>103088</v>
      </c>
      <c r="H210" s="11">
        <v>104717</v>
      </c>
    </row>
    <row r="211" spans="1:8" x14ac:dyDescent="0.3">
      <c r="A211" s="7">
        <v>48181</v>
      </c>
      <c r="B211" s="7" t="s">
        <v>604</v>
      </c>
      <c r="C211" s="7" t="s">
        <v>699</v>
      </c>
      <c r="D211" s="8">
        <v>136152</v>
      </c>
      <c r="E211" s="8">
        <v>139652</v>
      </c>
      <c r="F211" s="8">
        <v>143292</v>
      </c>
      <c r="G211" s="8">
        <v>147056</v>
      </c>
      <c r="H211" s="8">
        <v>150532</v>
      </c>
    </row>
    <row r="212" spans="1:8" x14ac:dyDescent="0.3">
      <c r="A212" s="7">
        <v>9120</v>
      </c>
      <c r="B212" s="7" t="s">
        <v>907</v>
      </c>
      <c r="C212" s="7" t="s">
        <v>962</v>
      </c>
      <c r="D212" s="8">
        <v>324397</v>
      </c>
      <c r="E212" s="8">
        <v>326799</v>
      </c>
      <c r="F212" s="8">
        <v>328131</v>
      </c>
      <c r="G212" s="8">
        <v>331300</v>
      </c>
      <c r="H212" s="8">
        <v>335666</v>
      </c>
    </row>
    <row r="213" spans="1:8" x14ac:dyDescent="0.3">
      <c r="A213" s="7">
        <v>29077</v>
      </c>
      <c r="B213" s="7" t="s">
        <v>230</v>
      </c>
      <c r="C213" s="7" t="s">
        <v>624</v>
      </c>
      <c r="D213" s="8">
        <v>299332</v>
      </c>
      <c r="E213" s="8">
        <v>301137</v>
      </c>
      <c r="F213" s="8">
        <v>303336</v>
      </c>
      <c r="G213" s="8">
        <v>305130</v>
      </c>
      <c r="H213" s="8">
        <v>307942</v>
      </c>
    </row>
    <row r="214" spans="1:8" x14ac:dyDescent="0.3">
      <c r="A214" s="7">
        <v>39057</v>
      </c>
      <c r="B214" s="7" t="s">
        <v>447</v>
      </c>
      <c r="C214" s="7" t="s">
        <v>624</v>
      </c>
      <c r="D214" s="8">
        <v>168130</v>
      </c>
      <c r="E214" s="8">
        <v>168250</v>
      </c>
      <c r="F214" s="8">
        <v>169380</v>
      </c>
      <c r="G214" s="8">
        <v>170335</v>
      </c>
      <c r="H214" s="8">
        <v>172347</v>
      </c>
    </row>
    <row r="215" spans="1:8" x14ac:dyDescent="0.3">
      <c r="A215" s="7">
        <v>45045</v>
      </c>
      <c r="B215" s="7" t="s">
        <v>458</v>
      </c>
      <c r="C215" s="7" t="s">
        <v>643</v>
      </c>
      <c r="D215" s="8">
        <v>527266</v>
      </c>
      <c r="E215" s="8">
        <v>534675</v>
      </c>
      <c r="F215" s="8">
        <v>548447</v>
      </c>
      <c r="G215" s="8">
        <v>559696</v>
      </c>
      <c r="H215" s="8">
        <v>570745</v>
      </c>
    </row>
    <row r="216" spans="1:8" x14ac:dyDescent="0.3">
      <c r="A216" s="7">
        <v>48183</v>
      </c>
      <c r="B216" s="7" t="s">
        <v>604</v>
      </c>
      <c r="C216" s="7" t="s">
        <v>912</v>
      </c>
      <c r="D216" s="8">
        <v>124317</v>
      </c>
      <c r="E216" s="8">
        <v>124205</v>
      </c>
      <c r="F216" s="8">
        <v>125668</v>
      </c>
      <c r="G216" s="8">
        <v>126531</v>
      </c>
      <c r="H216" s="8">
        <v>126679</v>
      </c>
    </row>
    <row r="217" spans="1:8" x14ac:dyDescent="0.3">
      <c r="A217" s="7">
        <v>48187</v>
      </c>
      <c r="B217" s="7" t="s">
        <v>604</v>
      </c>
      <c r="C217" s="7" t="s">
        <v>879</v>
      </c>
      <c r="D217" s="8">
        <v>173708</v>
      </c>
      <c r="E217" s="8">
        <v>177328</v>
      </c>
      <c r="F217" s="8">
        <v>182953</v>
      </c>
      <c r="G217" s="8">
        <v>189056</v>
      </c>
      <c r="H217" s="8">
        <v>195166</v>
      </c>
    </row>
    <row r="218" spans="1:8" x14ac:dyDescent="0.3">
      <c r="A218" s="7">
        <v>37081</v>
      </c>
      <c r="B218" s="7" t="s">
        <v>467</v>
      </c>
      <c r="C218" s="7" t="s">
        <v>722</v>
      </c>
      <c r="D218" s="8">
        <v>538761</v>
      </c>
      <c r="E218" s="8">
        <v>542050</v>
      </c>
      <c r="F218" s="8">
        <v>547195</v>
      </c>
      <c r="G218" s="8">
        <v>552880</v>
      </c>
      <c r="H218" s="8">
        <v>558816</v>
      </c>
    </row>
    <row r="219" spans="1:8" x14ac:dyDescent="0.3">
      <c r="A219" s="7">
        <v>13135</v>
      </c>
      <c r="B219" s="7" t="s">
        <v>469</v>
      </c>
      <c r="C219" s="7" t="s">
        <v>829</v>
      </c>
      <c r="D219" s="8">
        <v>958378</v>
      </c>
      <c r="E219" s="8">
        <v>965458</v>
      </c>
      <c r="F219" s="8">
        <v>980015</v>
      </c>
      <c r="G219" s="8">
        <v>991602</v>
      </c>
      <c r="H219" s="8">
        <v>1003869</v>
      </c>
    </row>
    <row r="220" spans="1:8" x14ac:dyDescent="0.3">
      <c r="A220" s="7">
        <v>13139</v>
      </c>
      <c r="B220" s="7" t="s">
        <v>469</v>
      </c>
      <c r="C220" s="7" t="s">
        <v>756</v>
      </c>
      <c r="D220" s="8">
        <v>203409</v>
      </c>
      <c r="E220" s="8">
        <v>206998</v>
      </c>
      <c r="F220" s="8">
        <v>213126</v>
      </c>
      <c r="G220" s="8">
        <v>218248</v>
      </c>
      <c r="H220" s="8">
        <v>221745</v>
      </c>
    </row>
    <row r="221" spans="1:8" x14ac:dyDescent="0.3">
      <c r="A221" s="7">
        <v>39061</v>
      </c>
      <c r="B221" s="7" t="s">
        <v>447</v>
      </c>
      <c r="C221" s="7" t="s">
        <v>470</v>
      </c>
      <c r="D221" s="8">
        <v>830418</v>
      </c>
      <c r="E221" s="8">
        <v>827564</v>
      </c>
      <c r="F221" s="8">
        <v>826970</v>
      </c>
      <c r="G221" s="8">
        <v>831559</v>
      </c>
      <c r="H221" s="8">
        <v>837359</v>
      </c>
    </row>
    <row r="222" spans="1:8" x14ac:dyDescent="0.3">
      <c r="A222" s="7">
        <v>18057</v>
      </c>
      <c r="B222" s="7" t="s">
        <v>35</v>
      </c>
      <c r="C222" s="7" t="s">
        <v>470</v>
      </c>
      <c r="D222" s="8">
        <v>349031</v>
      </c>
      <c r="E222" s="8">
        <v>357691</v>
      </c>
      <c r="F222" s="8">
        <v>366264</v>
      </c>
      <c r="G222" s="8">
        <v>372588</v>
      </c>
      <c r="H222" s="8">
        <v>379704</v>
      </c>
    </row>
    <row r="223" spans="1:8" x14ac:dyDescent="0.3">
      <c r="A223" s="7">
        <v>47065</v>
      </c>
      <c r="B223" s="7" t="s">
        <v>27</v>
      </c>
      <c r="C223" s="7" t="s">
        <v>470</v>
      </c>
      <c r="D223" s="8">
        <v>367891</v>
      </c>
      <c r="E223" s="8">
        <v>369678</v>
      </c>
      <c r="F223" s="8">
        <v>375861</v>
      </c>
      <c r="G223" s="8">
        <v>381272</v>
      </c>
      <c r="H223" s="8">
        <v>386256</v>
      </c>
    </row>
    <row r="224" spans="1:8" x14ac:dyDescent="0.3">
      <c r="A224" s="7">
        <v>25013</v>
      </c>
      <c r="B224" s="7" t="s">
        <v>453</v>
      </c>
      <c r="C224" s="7" t="s">
        <v>493</v>
      </c>
      <c r="D224" s="8">
        <v>463714</v>
      </c>
      <c r="E224" s="8">
        <v>462640</v>
      </c>
      <c r="F224" s="8">
        <v>461440</v>
      </c>
      <c r="G224" s="8">
        <v>462128</v>
      </c>
      <c r="H224" s="8">
        <v>464151</v>
      </c>
    </row>
    <row r="225" spans="1:8" x14ac:dyDescent="0.3">
      <c r="A225" s="7">
        <v>25015</v>
      </c>
      <c r="B225" s="7" t="s">
        <v>453</v>
      </c>
      <c r="C225" s="7" t="s">
        <v>812</v>
      </c>
      <c r="D225" s="8">
        <v>148589</v>
      </c>
      <c r="E225" s="8">
        <v>165069</v>
      </c>
      <c r="F225" s="8">
        <v>165397</v>
      </c>
      <c r="G225" s="8">
        <v>165686</v>
      </c>
      <c r="H225" s="8">
        <v>165399</v>
      </c>
    </row>
    <row r="226" spans="1:8" x14ac:dyDescent="0.3">
      <c r="A226" s="7">
        <v>51650</v>
      </c>
      <c r="B226" s="7" t="s">
        <v>239</v>
      </c>
      <c r="C226" s="7" t="s">
        <v>752</v>
      </c>
      <c r="D226" s="8">
        <v>137282</v>
      </c>
      <c r="E226" s="8">
        <v>137780</v>
      </c>
      <c r="F226" s="8">
        <v>137970</v>
      </c>
      <c r="G226" s="8">
        <v>137157</v>
      </c>
      <c r="H226" s="8">
        <v>137596</v>
      </c>
    </row>
    <row r="227" spans="1:8" x14ac:dyDescent="0.3">
      <c r="A227" s="7">
        <v>51085</v>
      </c>
      <c r="B227" s="7" t="s">
        <v>239</v>
      </c>
      <c r="C227" s="7" t="s">
        <v>963</v>
      </c>
      <c r="D227" s="8">
        <v>110207</v>
      </c>
      <c r="E227" s="8">
        <v>111799</v>
      </c>
      <c r="F227" s="8">
        <v>112889</v>
      </c>
      <c r="G227" s="8">
        <v>114193</v>
      </c>
      <c r="H227" s="8">
        <v>115309</v>
      </c>
    </row>
    <row r="228" spans="1:8" x14ac:dyDescent="0.3">
      <c r="A228" s="7">
        <v>21093</v>
      </c>
      <c r="B228" s="7" t="s">
        <v>41</v>
      </c>
      <c r="C228" s="7" t="s">
        <v>506</v>
      </c>
      <c r="D228" s="8">
        <v>110840</v>
      </c>
      <c r="E228" s="8">
        <v>111870</v>
      </c>
      <c r="F228" s="8">
        <v>111776</v>
      </c>
      <c r="G228" s="8">
        <v>112396</v>
      </c>
      <c r="H228" s="8">
        <v>112826</v>
      </c>
    </row>
    <row r="229" spans="1:8" x14ac:dyDescent="0.3">
      <c r="A229" s="7">
        <v>24025</v>
      </c>
      <c r="B229" s="7" t="s">
        <v>11</v>
      </c>
      <c r="C229" s="7" t="s">
        <v>745</v>
      </c>
      <c r="D229" s="8">
        <v>261245</v>
      </c>
      <c r="E229" s="8">
        <v>263348</v>
      </c>
      <c r="F229" s="8">
        <v>263908</v>
      </c>
      <c r="G229" s="8">
        <v>264771</v>
      </c>
      <c r="H229" s="8">
        <v>265514</v>
      </c>
    </row>
    <row r="230" spans="1:8" x14ac:dyDescent="0.3">
      <c r="A230" s="7">
        <v>37085</v>
      </c>
      <c r="B230" s="7" t="s">
        <v>467</v>
      </c>
      <c r="C230" s="7" t="s">
        <v>675</v>
      </c>
      <c r="D230" s="8">
        <v>133716</v>
      </c>
      <c r="E230" s="8">
        <v>135563</v>
      </c>
      <c r="F230" s="8">
        <v>138583</v>
      </c>
      <c r="G230" s="8">
        <v>141792</v>
      </c>
      <c r="H230" s="8">
        <v>146096</v>
      </c>
    </row>
    <row r="231" spans="1:8" x14ac:dyDescent="0.3">
      <c r="A231" s="7">
        <v>48201</v>
      </c>
      <c r="B231" s="7" t="s">
        <v>604</v>
      </c>
      <c r="C231" s="7" t="s">
        <v>738</v>
      </c>
      <c r="D231" s="8">
        <v>4735383</v>
      </c>
      <c r="E231" s="8">
        <v>4736633</v>
      </c>
      <c r="F231" s="8">
        <v>4806747</v>
      </c>
      <c r="G231" s="8">
        <v>4903450</v>
      </c>
      <c r="H231" s="8">
        <v>5009302</v>
      </c>
    </row>
    <row r="232" spans="1:8" x14ac:dyDescent="0.3">
      <c r="A232" s="7">
        <v>28047</v>
      </c>
      <c r="B232" s="7" t="s">
        <v>257</v>
      </c>
      <c r="C232" s="7" t="s">
        <v>505</v>
      </c>
      <c r="D232" s="8">
        <v>208835</v>
      </c>
      <c r="E232" s="8">
        <v>209526</v>
      </c>
      <c r="F232" s="8">
        <v>210972</v>
      </c>
      <c r="G232" s="8">
        <v>211394</v>
      </c>
      <c r="H232" s="8">
        <v>213730</v>
      </c>
    </row>
    <row r="233" spans="1:8" x14ac:dyDescent="0.3">
      <c r="A233" s="7">
        <v>15001</v>
      </c>
      <c r="B233" s="7" t="s">
        <v>526</v>
      </c>
      <c r="C233" s="7" t="s">
        <v>607</v>
      </c>
      <c r="D233" s="8">
        <v>200754</v>
      </c>
      <c r="E233" s="8">
        <v>203933</v>
      </c>
      <c r="F233" s="8">
        <v>206324</v>
      </c>
      <c r="G233" s="8">
        <v>208043</v>
      </c>
      <c r="H233" s="8">
        <v>209790</v>
      </c>
    </row>
    <row r="234" spans="1:8" x14ac:dyDescent="0.3">
      <c r="A234" s="7">
        <v>48209</v>
      </c>
      <c r="B234" s="7" t="s">
        <v>604</v>
      </c>
      <c r="C234" s="7" t="s">
        <v>824</v>
      </c>
      <c r="D234" s="8">
        <v>243988</v>
      </c>
      <c r="E234" s="8">
        <v>256002</v>
      </c>
      <c r="F234" s="8">
        <v>269476</v>
      </c>
      <c r="G234" s="8">
        <v>281697</v>
      </c>
      <c r="H234" s="8">
        <v>292029</v>
      </c>
    </row>
    <row r="235" spans="1:8" x14ac:dyDescent="0.3">
      <c r="A235" s="7">
        <v>37089</v>
      </c>
      <c r="B235" s="7" t="s">
        <v>467</v>
      </c>
      <c r="C235" s="7" t="s">
        <v>760</v>
      </c>
      <c r="D235" s="8">
        <v>116571</v>
      </c>
      <c r="E235" s="8">
        <v>117166</v>
      </c>
      <c r="F235" s="8">
        <v>118336</v>
      </c>
      <c r="G235" s="8">
        <v>119576</v>
      </c>
      <c r="H235" s="8">
        <v>120771</v>
      </c>
    </row>
    <row r="236" spans="1:8" x14ac:dyDescent="0.3">
      <c r="A236" s="7">
        <v>18063</v>
      </c>
      <c r="B236" s="7" t="s">
        <v>35</v>
      </c>
      <c r="C236" s="7" t="s">
        <v>843</v>
      </c>
      <c r="D236" s="8">
        <v>175615</v>
      </c>
      <c r="E236" s="8">
        <v>179830</v>
      </c>
      <c r="F236" s="8">
        <v>183507</v>
      </c>
      <c r="G236" s="8">
        <v>187141</v>
      </c>
      <c r="H236" s="8">
        <v>190629</v>
      </c>
    </row>
    <row r="237" spans="1:8" x14ac:dyDescent="0.3">
      <c r="A237" s="7">
        <v>27053</v>
      </c>
      <c r="B237" s="7" t="s">
        <v>475</v>
      </c>
      <c r="C237" s="7" t="s">
        <v>520</v>
      </c>
      <c r="D237" s="8">
        <v>1281722</v>
      </c>
      <c r="E237" s="8">
        <v>1270232</v>
      </c>
      <c r="F237" s="8">
        <v>1258981</v>
      </c>
      <c r="G237" s="8">
        <v>1263210</v>
      </c>
      <c r="H237" s="8">
        <v>1273334</v>
      </c>
    </row>
    <row r="238" spans="1:8" x14ac:dyDescent="0.3">
      <c r="A238" s="7">
        <v>51087</v>
      </c>
      <c r="B238" s="7" t="s">
        <v>239</v>
      </c>
      <c r="C238" s="7" t="s">
        <v>642</v>
      </c>
      <c r="D238" s="8">
        <v>334939</v>
      </c>
      <c r="E238" s="8">
        <v>334501</v>
      </c>
      <c r="F238" s="8">
        <v>334855</v>
      </c>
      <c r="G238" s="8">
        <v>335729</v>
      </c>
      <c r="H238" s="8">
        <v>338696</v>
      </c>
    </row>
    <row r="239" spans="1:8" x14ac:dyDescent="0.3">
      <c r="A239" s="7">
        <v>13151</v>
      </c>
      <c r="B239" s="7" t="s">
        <v>469</v>
      </c>
      <c r="C239" s="7" t="s">
        <v>766</v>
      </c>
      <c r="D239" s="8">
        <v>241867</v>
      </c>
      <c r="E239" s="8">
        <v>245127</v>
      </c>
      <c r="F239" s="8">
        <v>248559</v>
      </c>
      <c r="G239" s="8">
        <v>254934</v>
      </c>
      <c r="H239" s="8">
        <v>259315</v>
      </c>
    </row>
    <row r="240" spans="1:8" x14ac:dyDescent="0.3">
      <c r="A240" s="7">
        <v>12053</v>
      </c>
      <c r="B240" s="7" t="s">
        <v>50</v>
      </c>
      <c r="C240" s="7" t="s">
        <v>545</v>
      </c>
      <c r="D240" s="8">
        <v>195629</v>
      </c>
      <c r="E240" s="8">
        <v>200727</v>
      </c>
      <c r="F240" s="8">
        <v>207169</v>
      </c>
      <c r="G240" s="8">
        <v>213415</v>
      </c>
      <c r="H240" s="8">
        <v>218150</v>
      </c>
    </row>
    <row r="241" spans="1:8" x14ac:dyDescent="0.3">
      <c r="A241" s="7">
        <v>48215</v>
      </c>
      <c r="B241" s="7" t="s">
        <v>604</v>
      </c>
      <c r="C241" s="7" t="s">
        <v>901</v>
      </c>
      <c r="D241" s="8">
        <v>872892</v>
      </c>
      <c r="E241" s="8">
        <v>879929</v>
      </c>
      <c r="F241" s="8">
        <v>889799</v>
      </c>
      <c r="G241" s="8">
        <v>902443</v>
      </c>
      <c r="H241" s="8">
        <v>914820</v>
      </c>
    </row>
    <row r="242" spans="1:8" x14ac:dyDescent="0.3">
      <c r="A242" s="7">
        <v>12055</v>
      </c>
      <c r="B242" s="7" t="s">
        <v>50</v>
      </c>
      <c r="C242" s="7" t="s">
        <v>750</v>
      </c>
      <c r="D242" s="8">
        <v>101340</v>
      </c>
      <c r="E242" s="8">
        <v>103286</v>
      </c>
      <c r="F242" s="8">
        <v>105954</v>
      </c>
      <c r="G242" s="8">
        <v>108151</v>
      </c>
      <c r="H242" s="8">
        <v>109778</v>
      </c>
    </row>
    <row r="243" spans="1:8" x14ac:dyDescent="0.3">
      <c r="A243" s="7">
        <v>33011</v>
      </c>
      <c r="B243" s="7" t="s">
        <v>590</v>
      </c>
      <c r="C243" s="7" t="s">
        <v>612</v>
      </c>
      <c r="D243" s="8">
        <v>422929</v>
      </c>
      <c r="E243" s="8">
        <v>424475</v>
      </c>
      <c r="F243" s="8">
        <v>426307</v>
      </c>
      <c r="G243" s="8">
        <v>427719</v>
      </c>
      <c r="H243" s="8">
        <v>430462</v>
      </c>
    </row>
    <row r="244" spans="1:8" x14ac:dyDescent="0.3">
      <c r="A244" s="7">
        <v>12057</v>
      </c>
      <c r="B244" s="7" t="s">
        <v>50</v>
      </c>
      <c r="C244" s="7" t="s">
        <v>612</v>
      </c>
      <c r="D244" s="8">
        <v>1466320</v>
      </c>
      <c r="E244" s="8">
        <v>1484844</v>
      </c>
      <c r="F244" s="8">
        <v>1523839</v>
      </c>
      <c r="G244" s="8">
        <v>1557313</v>
      </c>
      <c r="H244" s="8">
        <v>1581426</v>
      </c>
    </row>
    <row r="245" spans="1:8" x14ac:dyDescent="0.3">
      <c r="A245" s="7">
        <v>28049</v>
      </c>
      <c r="B245" s="7" t="s">
        <v>257</v>
      </c>
      <c r="C245" s="7" t="s">
        <v>635</v>
      </c>
      <c r="D245" s="8">
        <v>226772</v>
      </c>
      <c r="E245" s="8">
        <v>222017</v>
      </c>
      <c r="F245" s="8">
        <v>217383</v>
      </c>
      <c r="G245" s="8">
        <v>214517</v>
      </c>
      <c r="H245" s="8">
        <v>211975</v>
      </c>
    </row>
    <row r="246" spans="1:8" x14ac:dyDescent="0.3">
      <c r="A246" s="7">
        <v>15003</v>
      </c>
      <c r="B246" s="7" t="s">
        <v>526</v>
      </c>
      <c r="C246" s="7" t="s">
        <v>628</v>
      </c>
      <c r="D246" s="8">
        <v>1012407</v>
      </c>
      <c r="E246" s="8">
        <v>1004349</v>
      </c>
      <c r="F246" s="8">
        <v>995652</v>
      </c>
      <c r="G246" s="8">
        <v>994576</v>
      </c>
      <c r="H246" s="8">
        <v>998747</v>
      </c>
    </row>
    <row r="247" spans="1:8" x14ac:dyDescent="0.3">
      <c r="A247" s="7">
        <v>45051</v>
      </c>
      <c r="B247" s="7" t="s">
        <v>458</v>
      </c>
      <c r="C247" s="7" t="s">
        <v>481</v>
      </c>
      <c r="D247" s="8">
        <v>353779</v>
      </c>
      <c r="E247" s="8">
        <v>366164</v>
      </c>
      <c r="F247" s="8">
        <v>383372</v>
      </c>
      <c r="G247" s="8">
        <v>398374</v>
      </c>
      <c r="H247" s="8">
        <v>413391</v>
      </c>
    </row>
    <row r="248" spans="1:8" x14ac:dyDescent="0.3">
      <c r="A248" s="7">
        <v>1069</v>
      </c>
      <c r="B248" s="7" t="s">
        <v>463</v>
      </c>
      <c r="C248" s="7" t="s">
        <v>800</v>
      </c>
      <c r="D248" s="8">
        <v>107300</v>
      </c>
      <c r="E248" s="8">
        <v>107412</v>
      </c>
      <c r="F248" s="8">
        <v>108063</v>
      </c>
      <c r="G248" s="8">
        <v>108556</v>
      </c>
      <c r="H248" s="8">
        <v>109366</v>
      </c>
    </row>
    <row r="249" spans="1:8" x14ac:dyDescent="0.3">
      <c r="A249" s="7">
        <v>13153</v>
      </c>
      <c r="B249" s="7" t="s">
        <v>469</v>
      </c>
      <c r="C249" s="7" t="s">
        <v>800</v>
      </c>
      <c r="D249" s="8">
        <v>164358</v>
      </c>
      <c r="E249" s="8">
        <v>167245</v>
      </c>
      <c r="F249" s="8">
        <v>169791</v>
      </c>
      <c r="G249" s="8">
        <v>171955</v>
      </c>
      <c r="H249" s="8">
        <v>174897</v>
      </c>
    </row>
    <row r="250" spans="1:8" x14ac:dyDescent="0.3">
      <c r="A250" s="7">
        <v>24027</v>
      </c>
      <c r="B250" s="7" t="s">
        <v>11</v>
      </c>
      <c r="C250" s="7" t="s">
        <v>866</v>
      </c>
      <c r="D250" s="8">
        <v>332821</v>
      </c>
      <c r="E250" s="8">
        <v>335370</v>
      </c>
      <c r="F250" s="8">
        <v>336439</v>
      </c>
      <c r="G250" s="8">
        <v>337341</v>
      </c>
      <c r="H250" s="8">
        <v>339668</v>
      </c>
    </row>
    <row r="251" spans="1:8" x14ac:dyDescent="0.3">
      <c r="A251" s="7">
        <v>34017</v>
      </c>
      <c r="B251" s="7" t="s">
        <v>237</v>
      </c>
      <c r="C251" s="7" t="s">
        <v>769</v>
      </c>
      <c r="D251" s="8">
        <v>721909</v>
      </c>
      <c r="E251" s="8">
        <v>703545</v>
      </c>
      <c r="F251" s="8">
        <v>708657</v>
      </c>
      <c r="G251" s="8">
        <v>721320</v>
      </c>
      <c r="H251" s="8">
        <v>736185</v>
      </c>
    </row>
    <row r="252" spans="1:8" x14ac:dyDescent="0.3">
      <c r="A252" s="7">
        <v>6023</v>
      </c>
      <c r="B252" s="7" t="s">
        <v>15</v>
      </c>
      <c r="C252" s="7" t="s">
        <v>250</v>
      </c>
      <c r="D252" s="8">
        <v>136324</v>
      </c>
      <c r="E252" s="8">
        <v>134978</v>
      </c>
      <c r="F252" s="8">
        <v>135013</v>
      </c>
      <c r="G252" s="8">
        <v>134009</v>
      </c>
      <c r="H252" s="8">
        <v>132380</v>
      </c>
    </row>
    <row r="253" spans="1:8" x14ac:dyDescent="0.3">
      <c r="A253" s="7">
        <v>48231</v>
      </c>
      <c r="B253" s="7" t="s">
        <v>604</v>
      </c>
      <c r="C253" s="7" t="s">
        <v>692</v>
      </c>
      <c r="D253" s="8">
        <v>100250</v>
      </c>
      <c r="E253" s="8">
        <v>103596</v>
      </c>
      <c r="F253" s="8">
        <v>108532</v>
      </c>
      <c r="G253" s="8">
        <v>113754</v>
      </c>
      <c r="H253" s="8">
        <v>118729</v>
      </c>
    </row>
    <row r="254" spans="1:8" x14ac:dyDescent="0.3">
      <c r="A254" s="7">
        <v>34019</v>
      </c>
      <c r="B254" s="7" t="s">
        <v>237</v>
      </c>
      <c r="C254" s="7" t="s">
        <v>719</v>
      </c>
      <c r="D254" s="8">
        <v>128793</v>
      </c>
      <c r="E254" s="8">
        <v>129691</v>
      </c>
      <c r="F254" s="8">
        <v>129977</v>
      </c>
      <c r="G254" s="8">
        <v>130633</v>
      </c>
      <c r="H254" s="8">
        <v>131708</v>
      </c>
    </row>
    <row r="255" spans="1:8" x14ac:dyDescent="0.3">
      <c r="A255" s="7">
        <v>6025</v>
      </c>
      <c r="B255" s="7" t="s">
        <v>15</v>
      </c>
      <c r="C255" s="7" t="s">
        <v>782</v>
      </c>
      <c r="D255" s="8">
        <v>179730</v>
      </c>
      <c r="E255" s="8">
        <v>179206</v>
      </c>
      <c r="F255" s="8">
        <v>179767</v>
      </c>
      <c r="G255" s="8">
        <v>180585</v>
      </c>
      <c r="H255" s="8">
        <v>181724</v>
      </c>
    </row>
    <row r="256" spans="1:8" x14ac:dyDescent="0.3">
      <c r="A256" s="7">
        <v>12061</v>
      </c>
      <c r="B256" s="7" t="s">
        <v>50</v>
      </c>
      <c r="C256" s="7" t="s">
        <v>670</v>
      </c>
      <c r="D256" s="8">
        <v>160452</v>
      </c>
      <c r="E256" s="8">
        <v>163903</v>
      </c>
      <c r="F256" s="8">
        <v>167698</v>
      </c>
      <c r="G256" s="8">
        <v>170487</v>
      </c>
      <c r="H256" s="8">
        <v>172139</v>
      </c>
    </row>
    <row r="257" spans="1:8" x14ac:dyDescent="0.3">
      <c r="A257" s="7">
        <v>26065</v>
      </c>
      <c r="B257" s="7" t="s">
        <v>480</v>
      </c>
      <c r="C257" s="7" t="s">
        <v>639</v>
      </c>
      <c r="D257" s="8">
        <v>285007</v>
      </c>
      <c r="E257" s="8">
        <v>271662</v>
      </c>
      <c r="F257" s="8">
        <v>284761</v>
      </c>
      <c r="G257" s="8">
        <v>287710</v>
      </c>
      <c r="H257" s="8">
        <v>290427</v>
      </c>
    </row>
    <row r="258" spans="1:8" x14ac:dyDescent="0.3">
      <c r="A258" s="7">
        <v>37097</v>
      </c>
      <c r="B258" s="7" t="s">
        <v>467</v>
      </c>
      <c r="C258" s="7" t="s">
        <v>788</v>
      </c>
      <c r="D258" s="8">
        <v>187696</v>
      </c>
      <c r="E258" s="8">
        <v>192222</v>
      </c>
      <c r="F258" s="8">
        <v>196129</v>
      </c>
      <c r="G258" s="8">
        <v>200311</v>
      </c>
      <c r="H258" s="8">
        <v>206361</v>
      </c>
    </row>
    <row r="259" spans="1:8" x14ac:dyDescent="0.3">
      <c r="A259" s="7">
        <v>29095</v>
      </c>
      <c r="B259" s="7" t="s">
        <v>230</v>
      </c>
      <c r="C259" s="7" t="s">
        <v>256</v>
      </c>
      <c r="D259" s="8">
        <v>717662</v>
      </c>
      <c r="E259" s="8">
        <v>717993</v>
      </c>
      <c r="F259" s="8">
        <v>716580</v>
      </c>
      <c r="G259" s="8">
        <v>720283</v>
      </c>
      <c r="H259" s="8">
        <v>727362</v>
      </c>
    </row>
    <row r="260" spans="1:8" x14ac:dyDescent="0.3">
      <c r="A260" s="7">
        <v>26075</v>
      </c>
      <c r="B260" s="7" t="s">
        <v>480</v>
      </c>
      <c r="C260" s="7" t="s">
        <v>256</v>
      </c>
      <c r="D260" s="8">
        <v>160223</v>
      </c>
      <c r="E260" s="8">
        <v>160181</v>
      </c>
      <c r="F260" s="8">
        <v>159828</v>
      </c>
      <c r="G260" s="8">
        <v>159835</v>
      </c>
      <c r="H260" s="8">
        <v>160233</v>
      </c>
    </row>
    <row r="261" spans="1:8" x14ac:dyDescent="0.3">
      <c r="A261" s="7">
        <v>41029</v>
      </c>
      <c r="B261" s="7" t="s">
        <v>21</v>
      </c>
      <c r="C261" s="7" t="s">
        <v>256</v>
      </c>
      <c r="D261" s="8">
        <v>223755</v>
      </c>
      <c r="E261" s="8">
        <v>224649</v>
      </c>
      <c r="F261" s="8">
        <v>222153</v>
      </c>
      <c r="G261" s="8">
        <v>221338</v>
      </c>
      <c r="H261" s="8">
        <v>221331</v>
      </c>
    </row>
    <row r="262" spans="1:8" x14ac:dyDescent="0.3">
      <c r="A262" s="7">
        <v>28059</v>
      </c>
      <c r="B262" s="7" t="s">
        <v>257</v>
      </c>
      <c r="C262" s="7" t="s">
        <v>256</v>
      </c>
      <c r="D262" s="8">
        <v>143378</v>
      </c>
      <c r="E262" s="8">
        <v>144482</v>
      </c>
      <c r="F262" s="8">
        <v>145218</v>
      </c>
      <c r="G262" s="8">
        <v>146165</v>
      </c>
      <c r="H262" s="8">
        <v>147002</v>
      </c>
    </row>
    <row r="263" spans="1:8" x14ac:dyDescent="0.3">
      <c r="A263" s="7">
        <v>29097</v>
      </c>
      <c r="B263" s="7" t="s">
        <v>230</v>
      </c>
      <c r="C263" s="7" t="s">
        <v>862</v>
      </c>
      <c r="D263" s="8">
        <v>122896</v>
      </c>
      <c r="E263" s="8">
        <v>123324</v>
      </c>
      <c r="F263" s="8">
        <v>123969</v>
      </c>
      <c r="G263" s="8">
        <v>125117</v>
      </c>
      <c r="H263" s="8">
        <v>126479</v>
      </c>
    </row>
    <row r="264" spans="1:8" x14ac:dyDescent="0.3">
      <c r="A264" s="7">
        <v>29099</v>
      </c>
      <c r="B264" s="7" t="s">
        <v>230</v>
      </c>
      <c r="C264" s="7" t="s">
        <v>40</v>
      </c>
      <c r="D264" s="8">
        <v>226947</v>
      </c>
      <c r="E264" s="8">
        <v>228030</v>
      </c>
      <c r="F264" s="8">
        <v>229268</v>
      </c>
      <c r="G264" s="8">
        <v>231155</v>
      </c>
      <c r="H264" s="8">
        <v>231888</v>
      </c>
    </row>
    <row r="265" spans="1:8" x14ac:dyDescent="0.3">
      <c r="A265" s="7">
        <v>21111</v>
      </c>
      <c r="B265" s="7" t="s">
        <v>41</v>
      </c>
      <c r="C265" s="7" t="s">
        <v>40</v>
      </c>
      <c r="D265" s="8">
        <v>782896</v>
      </c>
      <c r="E265" s="8">
        <v>777624</v>
      </c>
      <c r="F265" s="8">
        <v>777329</v>
      </c>
      <c r="G265" s="8">
        <v>783381</v>
      </c>
      <c r="H265" s="8">
        <v>793881</v>
      </c>
    </row>
    <row r="266" spans="1:8" x14ac:dyDescent="0.3">
      <c r="A266" s="7">
        <v>1073</v>
      </c>
      <c r="B266" s="7" t="s">
        <v>463</v>
      </c>
      <c r="C266" s="7" t="s">
        <v>40</v>
      </c>
      <c r="D266" s="8">
        <v>674727</v>
      </c>
      <c r="E266" s="8">
        <v>669677</v>
      </c>
      <c r="F266" s="8">
        <v>665543</v>
      </c>
      <c r="G266" s="8">
        <v>664084</v>
      </c>
      <c r="H266" s="8">
        <v>664744</v>
      </c>
    </row>
    <row r="267" spans="1:8" x14ac:dyDescent="0.3">
      <c r="A267" s="7">
        <v>36045</v>
      </c>
      <c r="B267" s="7" t="s">
        <v>32</v>
      </c>
      <c r="C267" s="7" t="s">
        <v>40</v>
      </c>
      <c r="D267" s="8">
        <v>116071</v>
      </c>
      <c r="E267" s="8">
        <v>116925</v>
      </c>
      <c r="F267" s="8">
        <v>115487</v>
      </c>
      <c r="G267" s="8">
        <v>113575</v>
      </c>
      <c r="H267" s="8">
        <v>113140</v>
      </c>
    </row>
    <row r="268" spans="1:8" x14ac:dyDescent="0.3">
      <c r="A268" s="7">
        <v>48245</v>
      </c>
      <c r="B268" s="7" t="s">
        <v>604</v>
      </c>
      <c r="C268" s="7" t="s">
        <v>40</v>
      </c>
      <c r="D268" s="8">
        <v>256172</v>
      </c>
      <c r="E268" s="8">
        <v>253784</v>
      </c>
      <c r="F268" s="8">
        <v>252095</v>
      </c>
      <c r="G268" s="8">
        <v>253392</v>
      </c>
      <c r="H268" s="8">
        <v>253948</v>
      </c>
    </row>
    <row r="269" spans="1:8" x14ac:dyDescent="0.3">
      <c r="A269" s="7">
        <v>8059</v>
      </c>
      <c r="B269" s="7" t="s">
        <v>17</v>
      </c>
      <c r="C269" s="7" t="s">
        <v>40</v>
      </c>
      <c r="D269" s="8">
        <v>583169</v>
      </c>
      <c r="E269" s="8">
        <v>580854</v>
      </c>
      <c r="F269" s="8">
        <v>576635</v>
      </c>
      <c r="G269" s="8">
        <v>577693</v>
      </c>
      <c r="H269" s="8">
        <v>578533</v>
      </c>
    </row>
    <row r="270" spans="1:8" x14ac:dyDescent="0.3">
      <c r="A270" s="7">
        <v>22051</v>
      </c>
      <c r="B270" s="7" t="s">
        <v>24</v>
      </c>
      <c r="C270" s="7" t="s">
        <v>472</v>
      </c>
      <c r="D270" s="8">
        <v>439747</v>
      </c>
      <c r="E270" s="8">
        <v>434206</v>
      </c>
      <c r="F270" s="8">
        <v>427739</v>
      </c>
      <c r="G270" s="8">
        <v>425657</v>
      </c>
      <c r="H270" s="8">
        <v>427253</v>
      </c>
    </row>
    <row r="271" spans="1:8" x14ac:dyDescent="0.3">
      <c r="A271" s="7">
        <v>18081</v>
      </c>
      <c r="B271" s="7" t="s">
        <v>35</v>
      </c>
      <c r="C271" s="7" t="s">
        <v>577</v>
      </c>
      <c r="D271" s="8">
        <v>162263</v>
      </c>
      <c r="E271" s="8">
        <v>164440</v>
      </c>
      <c r="F271" s="8">
        <v>165951</v>
      </c>
      <c r="G271" s="8">
        <v>168305</v>
      </c>
      <c r="H271" s="8">
        <v>170614</v>
      </c>
    </row>
    <row r="272" spans="1:8" x14ac:dyDescent="0.3">
      <c r="A272" s="7">
        <v>48251</v>
      </c>
      <c r="B272" s="7" t="s">
        <v>604</v>
      </c>
      <c r="C272" s="7" t="s">
        <v>577</v>
      </c>
      <c r="D272" s="8">
        <v>180950</v>
      </c>
      <c r="E272" s="8">
        <v>187517</v>
      </c>
      <c r="F272" s="8">
        <v>195774</v>
      </c>
      <c r="G272" s="8">
        <v>203196</v>
      </c>
      <c r="H272" s="8">
        <v>210547</v>
      </c>
    </row>
    <row r="273" spans="1:8" x14ac:dyDescent="0.3">
      <c r="A273" s="7">
        <v>19103</v>
      </c>
      <c r="B273" s="7" t="s">
        <v>627</v>
      </c>
      <c r="C273" s="7" t="s">
        <v>577</v>
      </c>
      <c r="D273" s="8">
        <v>153052</v>
      </c>
      <c r="E273" s="8">
        <v>155047</v>
      </c>
      <c r="F273" s="8">
        <v>156815</v>
      </c>
      <c r="G273" s="8">
        <v>158202</v>
      </c>
      <c r="H273" s="8">
        <v>160080</v>
      </c>
    </row>
    <row r="274" spans="1:8" x14ac:dyDescent="0.3">
      <c r="A274" s="7">
        <v>20091</v>
      </c>
      <c r="B274" s="7" t="s">
        <v>267</v>
      </c>
      <c r="C274" s="7" t="s">
        <v>577</v>
      </c>
      <c r="D274" s="8">
        <v>611161</v>
      </c>
      <c r="E274" s="8">
        <v>614962</v>
      </c>
      <c r="F274" s="8">
        <v>619311</v>
      </c>
      <c r="G274" s="8">
        <v>625444</v>
      </c>
      <c r="H274" s="8">
        <v>632276</v>
      </c>
    </row>
    <row r="275" spans="1:8" x14ac:dyDescent="0.3">
      <c r="A275" s="7">
        <v>37101</v>
      </c>
      <c r="B275" s="7" t="s">
        <v>467</v>
      </c>
      <c r="C275" s="7" t="s">
        <v>845</v>
      </c>
      <c r="D275" s="8">
        <v>217426</v>
      </c>
      <c r="E275" s="8">
        <v>226976</v>
      </c>
      <c r="F275" s="8">
        <v>234762</v>
      </c>
      <c r="G275" s="8">
        <v>242358</v>
      </c>
      <c r="H275" s="8">
        <v>249794</v>
      </c>
    </row>
    <row r="276" spans="1:8" x14ac:dyDescent="0.3">
      <c r="A276" s="7">
        <v>26077</v>
      </c>
      <c r="B276" s="7" t="s">
        <v>480</v>
      </c>
      <c r="C276" s="7" t="s">
        <v>720</v>
      </c>
      <c r="D276" s="8">
        <v>261814</v>
      </c>
      <c r="E276" s="8">
        <v>260566</v>
      </c>
      <c r="F276" s="8">
        <v>261417</v>
      </c>
      <c r="G276" s="8">
        <v>263297</v>
      </c>
      <c r="H276" s="8">
        <v>264780</v>
      </c>
    </row>
    <row r="277" spans="1:8" x14ac:dyDescent="0.3">
      <c r="A277" s="7">
        <v>54039</v>
      </c>
      <c r="B277" s="7" t="s">
        <v>253</v>
      </c>
      <c r="C277" s="7" t="s">
        <v>252</v>
      </c>
      <c r="D277" s="8">
        <v>180208</v>
      </c>
      <c r="E277" s="8">
        <v>178071</v>
      </c>
      <c r="F277" s="8">
        <v>175899</v>
      </c>
      <c r="G277" s="8">
        <v>174602</v>
      </c>
      <c r="H277" s="8">
        <v>173906</v>
      </c>
    </row>
    <row r="278" spans="1:8" x14ac:dyDescent="0.3">
      <c r="A278" s="7">
        <v>17089</v>
      </c>
      <c r="B278" s="7" t="s">
        <v>262</v>
      </c>
      <c r="C278" s="7" t="s">
        <v>873</v>
      </c>
      <c r="D278" s="8">
        <v>516403</v>
      </c>
      <c r="E278" s="8">
        <v>516564</v>
      </c>
      <c r="F278" s="8">
        <v>515070</v>
      </c>
      <c r="G278" s="8">
        <v>517241</v>
      </c>
      <c r="H278" s="8">
        <v>520997</v>
      </c>
    </row>
    <row r="279" spans="1:8" x14ac:dyDescent="0.3">
      <c r="A279" s="7">
        <v>17091</v>
      </c>
      <c r="B279" s="7" t="s">
        <v>262</v>
      </c>
      <c r="C279" s="7" t="s">
        <v>690</v>
      </c>
      <c r="D279" s="8">
        <v>107403</v>
      </c>
      <c r="E279" s="8">
        <v>106757</v>
      </c>
      <c r="F279" s="8">
        <v>106221</v>
      </c>
      <c r="G279" s="8">
        <v>106386</v>
      </c>
      <c r="H279" s="8">
        <v>106410</v>
      </c>
    </row>
    <row r="280" spans="1:8" x14ac:dyDescent="0.3">
      <c r="A280" s="7">
        <v>48257</v>
      </c>
      <c r="B280" s="7" t="s">
        <v>604</v>
      </c>
      <c r="C280" s="7" t="s">
        <v>811</v>
      </c>
      <c r="D280" s="8">
        <v>147169</v>
      </c>
      <c r="E280" s="8">
        <v>158355</v>
      </c>
      <c r="F280" s="8">
        <v>172951</v>
      </c>
      <c r="G280" s="8">
        <v>186715</v>
      </c>
      <c r="H280" s="8">
        <v>197829</v>
      </c>
    </row>
    <row r="281" spans="1:8" x14ac:dyDescent="0.3">
      <c r="A281" s="7">
        <v>17093</v>
      </c>
      <c r="B281" s="7" t="s">
        <v>262</v>
      </c>
      <c r="C281" s="7" t="s">
        <v>884</v>
      </c>
      <c r="D281" s="8">
        <v>132351</v>
      </c>
      <c r="E281" s="8">
        <v>135023</v>
      </c>
      <c r="F281" s="8">
        <v>137602</v>
      </c>
      <c r="G281" s="8">
        <v>140229</v>
      </c>
      <c r="H281" s="8">
        <v>143171</v>
      </c>
    </row>
    <row r="282" spans="1:8" x14ac:dyDescent="0.3">
      <c r="A282" s="7">
        <v>23011</v>
      </c>
      <c r="B282" s="7" t="s">
        <v>455</v>
      </c>
      <c r="C282" s="7" t="s">
        <v>582</v>
      </c>
      <c r="D282" s="8">
        <v>124723</v>
      </c>
      <c r="E282" s="8">
        <v>125775</v>
      </c>
      <c r="F282" s="8">
        <v>127143</v>
      </c>
      <c r="G282" s="8">
        <v>127936</v>
      </c>
      <c r="H282" s="8">
        <v>128461</v>
      </c>
    </row>
    <row r="283" spans="1:8" x14ac:dyDescent="0.3">
      <c r="A283" s="7">
        <v>55059</v>
      </c>
      <c r="B283" s="7" t="s">
        <v>38</v>
      </c>
      <c r="C283" s="7" t="s">
        <v>700</v>
      </c>
      <c r="D283" s="8">
        <v>169202</v>
      </c>
      <c r="E283" s="8">
        <v>168446</v>
      </c>
      <c r="F283" s="8">
        <v>167920</v>
      </c>
      <c r="G283" s="8">
        <v>167867</v>
      </c>
      <c r="H283" s="8">
        <v>168754</v>
      </c>
    </row>
    <row r="284" spans="1:8" x14ac:dyDescent="0.3">
      <c r="A284" s="7">
        <v>10001</v>
      </c>
      <c r="B284" s="7" t="s">
        <v>47</v>
      </c>
      <c r="C284" s="7" t="s">
        <v>265</v>
      </c>
      <c r="D284" s="8">
        <v>182317</v>
      </c>
      <c r="E284" s="8">
        <v>185069</v>
      </c>
      <c r="F284" s="8">
        <v>187819</v>
      </c>
      <c r="G284" s="8">
        <v>190123</v>
      </c>
      <c r="H284" s="8">
        <v>192690</v>
      </c>
    </row>
    <row r="285" spans="1:8" x14ac:dyDescent="0.3">
      <c r="A285" s="7">
        <v>44003</v>
      </c>
      <c r="B285" s="7" t="s">
        <v>543</v>
      </c>
      <c r="C285" s="7" t="s">
        <v>265</v>
      </c>
      <c r="D285" s="8">
        <v>170423</v>
      </c>
      <c r="E285" s="8">
        <v>171115</v>
      </c>
      <c r="F285" s="8">
        <v>171523</v>
      </c>
      <c r="G285" s="8">
        <v>171770</v>
      </c>
      <c r="H285" s="8">
        <v>172450</v>
      </c>
    </row>
    <row r="286" spans="1:8" x14ac:dyDescent="0.3">
      <c r="A286" s="7">
        <v>26081</v>
      </c>
      <c r="B286" s="7" t="s">
        <v>480</v>
      </c>
      <c r="C286" s="7" t="s">
        <v>265</v>
      </c>
      <c r="D286" s="8">
        <v>658524</v>
      </c>
      <c r="E286" s="8">
        <v>658979</v>
      </c>
      <c r="F286" s="8">
        <v>660134</v>
      </c>
      <c r="G286" s="8">
        <v>665109</v>
      </c>
      <c r="H286" s="8">
        <v>673002</v>
      </c>
    </row>
    <row r="287" spans="1:8" x14ac:dyDescent="0.3">
      <c r="A287" s="7">
        <v>21117</v>
      </c>
      <c r="B287" s="7" t="s">
        <v>41</v>
      </c>
      <c r="C287" s="7" t="s">
        <v>523</v>
      </c>
      <c r="D287" s="8">
        <v>169276</v>
      </c>
      <c r="E287" s="8">
        <v>169641</v>
      </c>
      <c r="F287" s="8">
        <v>170413</v>
      </c>
      <c r="G287" s="8">
        <v>172248</v>
      </c>
      <c r="H287" s="8">
        <v>174862</v>
      </c>
    </row>
    <row r="288" spans="1:8" x14ac:dyDescent="0.3">
      <c r="A288" s="7">
        <v>6029</v>
      </c>
      <c r="B288" s="7" t="s">
        <v>15</v>
      </c>
      <c r="C288" s="7" t="s">
        <v>451</v>
      </c>
      <c r="D288" s="8">
        <v>906124</v>
      </c>
      <c r="E288" s="8">
        <v>912782</v>
      </c>
      <c r="F288" s="8">
        <v>917293</v>
      </c>
      <c r="G288" s="8">
        <v>916646</v>
      </c>
      <c r="H288" s="8">
        <v>922529</v>
      </c>
    </row>
    <row r="289" spans="1:8" x14ac:dyDescent="0.3">
      <c r="A289" s="10">
        <v>53033</v>
      </c>
      <c r="B289" s="10" t="s">
        <v>13</v>
      </c>
      <c r="C289" s="10" t="s">
        <v>33</v>
      </c>
      <c r="D289" s="11">
        <v>2274349</v>
      </c>
      <c r="E289" s="11">
        <v>2253242</v>
      </c>
      <c r="F289" s="11">
        <v>2271238</v>
      </c>
      <c r="G289" s="11">
        <v>2296813</v>
      </c>
      <c r="H289" s="11">
        <v>2340211</v>
      </c>
    </row>
    <row r="290" spans="1:8" x14ac:dyDescent="0.3">
      <c r="A290" s="7">
        <v>6031</v>
      </c>
      <c r="B290" s="7" t="s">
        <v>15</v>
      </c>
      <c r="C290" s="7" t="s">
        <v>681</v>
      </c>
      <c r="D290" s="8">
        <v>152797</v>
      </c>
      <c r="E290" s="8">
        <v>152724</v>
      </c>
      <c r="F290" s="8">
        <v>152776</v>
      </c>
      <c r="G290" s="8">
        <v>153281</v>
      </c>
      <c r="H290" s="8">
        <v>154913</v>
      </c>
    </row>
    <row r="291" spans="1:8" x14ac:dyDescent="0.3">
      <c r="A291" s="7">
        <v>36047</v>
      </c>
      <c r="B291" s="7" t="s">
        <v>32</v>
      </c>
      <c r="C291" s="7" t="s">
        <v>681</v>
      </c>
      <c r="D291" s="8">
        <v>2716455</v>
      </c>
      <c r="E291" s="8">
        <v>2634268</v>
      </c>
      <c r="F291" s="8">
        <v>2596607</v>
      </c>
      <c r="G291" s="8">
        <v>2592937</v>
      </c>
      <c r="H291" s="8">
        <v>2617631</v>
      </c>
    </row>
    <row r="292" spans="1:8" x14ac:dyDescent="0.3">
      <c r="A292" s="10">
        <v>53035</v>
      </c>
      <c r="B292" s="10" t="s">
        <v>13</v>
      </c>
      <c r="C292" s="10" t="s">
        <v>510</v>
      </c>
      <c r="D292" s="11">
        <v>275832</v>
      </c>
      <c r="E292" s="11">
        <v>276629</v>
      </c>
      <c r="F292" s="11">
        <v>277876</v>
      </c>
      <c r="G292" s="11">
        <v>277650</v>
      </c>
      <c r="H292" s="11">
        <v>281420</v>
      </c>
    </row>
    <row r="293" spans="1:8" x14ac:dyDescent="0.3">
      <c r="A293" s="7">
        <v>47093</v>
      </c>
      <c r="B293" s="7" t="s">
        <v>27</v>
      </c>
      <c r="C293" s="7" t="s">
        <v>26</v>
      </c>
      <c r="D293" s="8">
        <v>480530</v>
      </c>
      <c r="E293" s="8">
        <v>486005</v>
      </c>
      <c r="F293" s="8">
        <v>495882</v>
      </c>
      <c r="G293" s="8">
        <v>501576</v>
      </c>
      <c r="H293" s="8">
        <v>506748</v>
      </c>
    </row>
    <row r="294" spans="1:8" x14ac:dyDescent="0.3">
      <c r="A294" s="7">
        <v>16055</v>
      </c>
      <c r="B294" s="7" t="s">
        <v>610</v>
      </c>
      <c r="C294" s="7" t="s">
        <v>609</v>
      </c>
      <c r="D294" s="8">
        <v>172791</v>
      </c>
      <c r="E294" s="8">
        <v>180089</v>
      </c>
      <c r="F294" s="8">
        <v>183540</v>
      </c>
      <c r="G294" s="8">
        <v>185237</v>
      </c>
      <c r="H294" s="8">
        <v>188323</v>
      </c>
    </row>
    <row r="295" spans="1:8" x14ac:dyDescent="0.3">
      <c r="A295" s="7">
        <v>55063</v>
      </c>
      <c r="B295" s="7" t="s">
        <v>38</v>
      </c>
      <c r="C295" s="7" t="s">
        <v>665</v>
      </c>
      <c r="D295" s="8">
        <v>120943</v>
      </c>
      <c r="E295" s="8">
        <v>119362</v>
      </c>
      <c r="F295" s="8">
        <v>120359</v>
      </c>
      <c r="G295" s="8">
        <v>120717</v>
      </c>
      <c r="H295" s="8">
        <v>121060</v>
      </c>
    </row>
    <row r="296" spans="1:8" x14ac:dyDescent="0.3">
      <c r="A296" s="7">
        <v>18091</v>
      </c>
      <c r="B296" s="7" t="s">
        <v>35</v>
      </c>
      <c r="C296" s="7" t="s">
        <v>500</v>
      </c>
      <c r="D296" s="8">
        <v>112287</v>
      </c>
      <c r="E296" s="8">
        <v>112552</v>
      </c>
      <c r="F296" s="8">
        <v>111810</v>
      </c>
      <c r="G296" s="8">
        <v>111586</v>
      </c>
      <c r="H296" s="8">
        <v>111348</v>
      </c>
    </row>
    <row r="297" spans="1:8" x14ac:dyDescent="0.3">
      <c r="A297" s="7">
        <v>17099</v>
      </c>
      <c r="B297" s="7" t="s">
        <v>262</v>
      </c>
      <c r="C297" s="7" t="s">
        <v>662</v>
      </c>
      <c r="D297" s="8">
        <v>109409</v>
      </c>
      <c r="E297" s="8">
        <v>109166</v>
      </c>
      <c r="F297" s="8">
        <v>108210</v>
      </c>
      <c r="G297" s="8">
        <v>108397</v>
      </c>
      <c r="H297" s="8">
        <v>108390</v>
      </c>
    </row>
    <row r="298" spans="1:8" x14ac:dyDescent="0.3">
      <c r="A298" s="7">
        <v>42069</v>
      </c>
      <c r="B298" s="7" t="s">
        <v>19</v>
      </c>
      <c r="C298" s="7" t="s">
        <v>552</v>
      </c>
      <c r="D298" s="8">
        <v>215538</v>
      </c>
      <c r="E298" s="8">
        <v>216063</v>
      </c>
      <c r="F298" s="8">
        <v>215797</v>
      </c>
      <c r="G298" s="8">
        <v>216472</v>
      </c>
      <c r="H298" s="8">
        <v>216859</v>
      </c>
    </row>
    <row r="299" spans="1:8" x14ac:dyDescent="0.3">
      <c r="A299" s="7">
        <v>22055</v>
      </c>
      <c r="B299" s="7" t="s">
        <v>24</v>
      </c>
      <c r="C299" s="7" t="s">
        <v>714</v>
      </c>
      <c r="D299" s="8">
        <v>242178</v>
      </c>
      <c r="E299" s="8">
        <v>244933</v>
      </c>
      <c r="F299" s="8">
        <v>248145</v>
      </c>
      <c r="G299" s="8">
        <v>250486</v>
      </c>
      <c r="H299" s="8">
        <v>254241</v>
      </c>
    </row>
    <row r="300" spans="1:8" x14ac:dyDescent="0.3">
      <c r="A300" s="7">
        <v>39085</v>
      </c>
      <c r="B300" s="7" t="s">
        <v>447</v>
      </c>
      <c r="C300" s="7" t="s">
        <v>560</v>
      </c>
      <c r="D300" s="8">
        <v>232527</v>
      </c>
      <c r="E300" s="8">
        <v>232261</v>
      </c>
      <c r="F300" s="8">
        <v>231968</v>
      </c>
      <c r="G300" s="8">
        <v>231964</v>
      </c>
      <c r="H300" s="8">
        <v>232360</v>
      </c>
    </row>
    <row r="301" spans="1:8" x14ac:dyDescent="0.3">
      <c r="A301" s="7">
        <v>17097</v>
      </c>
      <c r="B301" s="7" t="s">
        <v>262</v>
      </c>
      <c r="C301" s="7" t="s">
        <v>560</v>
      </c>
      <c r="D301" s="8">
        <v>713426</v>
      </c>
      <c r="E301" s="8">
        <v>712733</v>
      </c>
      <c r="F301" s="8">
        <v>712143</v>
      </c>
      <c r="G301" s="8">
        <v>714207</v>
      </c>
      <c r="H301" s="8">
        <v>718604</v>
      </c>
    </row>
    <row r="302" spans="1:8" x14ac:dyDescent="0.3">
      <c r="A302" s="7">
        <v>12069</v>
      </c>
      <c r="B302" s="7" t="s">
        <v>50</v>
      </c>
      <c r="C302" s="7" t="s">
        <v>560</v>
      </c>
      <c r="D302" s="8">
        <v>386238</v>
      </c>
      <c r="E302" s="8">
        <v>396414</v>
      </c>
      <c r="F302" s="8">
        <v>410981</v>
      </c>
      <c r="G302" s="8">
        <v>426782</v>
      </c>
      <c r="H302" s="8">
        <v>444204</v>
      </c>
    </row>
    <row r="303" spans="1:8" x14ac:dyDescent="0.3">
      <c r="A303" s="7">
        <v>18089</v>
      </c>
      <c r="B303" s="7" t="s">
        <v>35</v>
      </c>
      <c r="C303" s="7" t="s">
        <v>560</v>
      </c>
      <c r="D303" s="8">
        <v>498963</v>
      </c>
      <c r="E303" s="8">
        <v>499319</v>
      </c>
      <c r="F303" s="8">
        <v>500065</v>
      </c>
      <c r="G303" s="8">
        <v>500591</v>
      </c>
      <c r="H303" s="8">
        <v>502955</v>
      </c>
    </row>
    <row r="304" spans="1:8" x14ac:dyDescent="0.3">
      <c r="A304" s="7">
        <v>45057</v>
      </c>
      <c r="B304" s="7" t="s">
        <v>458</v>
      </c>
      <c r="C304" s="7" t="s">
        <v>491</v>
      </c>
      <c r="D304" s="8">
        <v>96592</v>
      </c>
      <c r="E304" s="8">
        <v>100540</v>
      </c>
      <c r="F304" s="8">
        <v>104795</v>
      </c>
      <c r="G304" s="8">
        <v>108796</v>
      </c>
      <c r="H304" s="8">
        <v>111652</v>
      </c>
    </row>
    <row r="305" spans="1:8" x14ac:dyDescent="0.3">
      <c r="A305" s="7">
        <v>31109</v>
      </c>
      <c r="B305" s="7" t="s">
        <v>868</v>
      </c>
      <c r="C305" s="7" t="s">
        <v>491</v>
      </c>
      <c r="D305" s="8">
        <v>323171</v>
      </c>
      <c r="E305" s="8">
        <v>323407</v>
      </c>
      <c r="F305" s="8">
        <v>325252</v>
      </c>
      <c r="G305" s="8">
        <v>328794</v>
      </c>
      <c r="H305" s="8">
        <v>332857</v>
      </c>
    </row>
    <row r="306" spans="1:8" x14ac:dyDescent="0.3">
      <c r="A306" s="7">
        <v>42071</v>
      </c>
      <c r="B306" s="7" t="s">
        <v>19</v>
      </c>
      <c r="C306" s="7" t="s">
        <v>491</v>
      </c>
      <c r="D306" s="8">
        <v>552834</v>
      </c>
      <c r="E306" s="8">
        <v>556364</v>
      </c>
      <c r="F306" s="8">
        <v>556991</v>
      </c>
      <c r="G306" s="8">
        <v>560174</v>
      </c>
      <c r="H306" s="8">
        <v>563293</v>
      </c>
    </row>
    <row r="307" spans="1:8" x14ac:dyDescent="0.3">
      <c r="A307" s="7">
        <v>41039</v>
      </c>
      <c r="B307" s="7" t="s">
        <v>21</v>
      </c>
      <c r="C307" s="7" t="s">
        <v>473</v>
      </c>
      <c r="D307" s="8">
        <v>384221</v>
      </c>
      <c r="E307" s="8">
        <v>386082</v>
      </c>
      <c r="F307" s="8">
        <v>386187</v>
      </c>
      <c r="G307" s="8">
        <v>382151</v>
      </c>
      <c r="H307" s="8">
        <v>382396</v>
      </c>
    </row>
    <row r="308" spans="1:8" x14ac:dyDescent="0.3">
      <c r="A308" s="7">
        <v>56021</v>
      </c>
      <c r="B308" s="7" t="s">
        <v>696</v>
      </c>
      <c r="C308" s="7" t="s">
        <v>695</v>
      </c>
      <c r="D308" s="8">
        <v>100733</v>
      </c>
      <c r="E308" s="8">
        <v>100843</v>
      </c>
      <c r="F308" s="8">
        <v>100860</v>
      </c>
      <c r="G308" s="8">
        <v>101079</v>
      </c>
      <c r="H308" s="8">
        <v>101783</v>
      </c>
    </row>
    <row r="309" spans="1:8" x14ac:dyDescent="0.3">
      <c r="A309" s="7">
        <v>8069</v>
      </c>
      <c r="B309" s="7" t="s">
        <v>17</v>
      </c>
      <c r="C309" s="7" t="s">
        <v>779</v>
      </c>
      <c r="D309" s="8">
        <v>359932</v>
      </c>
      <c r="E309" s="8">
        <v>362785</v>
      </c>
      <c r="F309" s="8">
        <v>368017</v>
      </c>
      <c r="G309" s="8">
        <v>371530</v>
      </c>
      <c r="H309" s="8">
        <v>374574</v>
      </c>
    </row>
    <row r="310" spans="1:8" x14ac:dyDescent="0.3">
      <c r="A310" s="7">
        <v>42075</v>
      </c>
      <c r="B310" s="7" t="s">
        <v>19</v>
      </c>
      <c r="C310" s="7" t="s">
        <v>816</v>
      </c>
      <c r="D310" s="8">
        <v>143292</v>
      </c>
      <c r="E310" s="8">
        <v>143772</v>
      </c>
      <c r="F310" s="8">
        <v>144003</v>
      </c>
      <c r="G310" s="8">
        <v>144546</v>
      </c>
      <c r="H310" s="8">
        <v>145319</v>
      </c>
    </row>
    <row r="311" spans="1:8" x14ac:dyDescent="0.3">
      <c r="A311" s="7">
        <v>12071</v>
      </c>
      <c r="B311" s="7" t="s">
        <v>50</v>
      </c>
      <c r="C311" s="7" t="s">
        <v>757</v>
      </c>
      <c r="D311" s="8">
        <v>765566</v>
      </c>
      <c r="E311" s="8">
        <v>791013</v>
      </c>
      <c r="F311" s="8">
        <v>826567</v>
      </c>
      <c r="G311" s="8">
        <v>844226</v>
      </c>
      <c r="H311" s="8">
        <v>860959</v>
      </c>
    </row>
    <row r="312" spans="1:8" x14ac:dyDescent="0.3">
      <c r="A312" s="7">
        <v>1081</v>
      </c>
      <c r="B312" s="7" t="s">
        <v>463</v>
      </c>
      <c r="C312" s="7" t="s">
        <v>757</v>
      </c>
      <c r="D312" s="8">
        <v>174856</v>
      </c>
      <c r="E312" s="8">
        <v>177652</v>
      </c>
      <c r="F312" s="8">
        <v>181044</v>
      </c>
      <c r="G312" s="8">
        <v>184271</v>
      </c>
      <c r="H312" s="8">
        <v>187847</v>
      </c>
    </row>
    <row r="313" spans="1:8" x14ac:dyDescent="0.3">
      <c r="A313" s="7">
        <v>42077</v>
      </c>
      <c r="B313" s="7" t="s">
        <v>19</v>
      </c>
      <c r="C313" s="7" t="s">
        <v>709</v>
      </c>
      <c r="D313" s="8">
        <v>374493</v>
      </c>
      <c r="E313" s="8">
        <v>375922</v>
      </c>
      <c r="F313" s="8">
        <v>377019</v>
      </c>
      <c r="G313" s="8">
        <v>380872</v>
      </c>
      <c r="H313" s="8">
        <v>385655</v>
      </c>
    </row>
    <row r="314" spans="1:8" x14ac:dyDescent="0.3">
      <c r="A314" s="7">
        <v>12073</v>
      </c>
      <c r="B314" s="7" t="s">
        <v>50</v>
      </c>
      <c r="C314" s="7" t="s">
        <v>831</v>
      </c>
      <c r="D314" s="8">
        <v>293961</v>
      </c>
      <c r="E314" s="8">
        <v>296057</v>
      </c>
      <c r="F314" s="8">
        <v>298181</v>
      </c>
      <c r="G314" s="8">
        <v>299024</v>
      </c>
      <c r="H314" s="8">
        <v>300488</v>
      </c>
    </row>
    <row r="315" spans="1:8" x14ac:dyDescent="0.3">
      <c r="A315" s="7">
        <v>45063</v>
      </c>
      <c r="B315" s="7" t="s">
        <v>458</v>
      </c>
      <c r="C315" s="7" t="s">
        <v>535</v>
      </c>
      <c r="D315" s="8">
        <v>294993</v>
      </c>
      <c r="E315" s="8">
        <v>300644</v>
      </c>
      <c r="F315" s="8">
        <v>305147</v>
      </c>
      <c r="G315" s="8">
        <v>309877</v>
      </c>
      <c r="H315" s="8">
        <v>313774</v>
      </c>
    </row>
    <row r="316" spans="1:8" x14ac:dyDescent="0.3">
      <c r="A316" s="7">
        <v>48291</v>
      </c>
      <c r="B316" s="7" t="s">
        <v>604</v>
      </c>
      <c r="C316" s="7" t="s">
        <v>742</v>
      </c>
      <c r="D316" s="8">
        <v>92510</v>
      </c>
      <c r="E316" s="8">
        <v>97515</v>
      </c>
      <c r="F316" s="8">
        <v>102661</v>
      </c>
      <c r="G316" s="8">
        <v>109172</v>
      </c>
      <c r="H316" s="8">
        <v>115042</v>
      </c>
    </row>
    <row r="317" spans="1:8" x14ac:dyDescent="0.3">
      <c r="A317" s="7">
        <v>39089</v>
      </c>
      <c r="B317" s="7" t="s">
        <v>447</v>
      </c>
      <c r="C317" s="7" t="s">
        <v>821</v>
      </c>
      <c r="D317" s="8">
        <v>178796</v>
      </c>
      <c r="E317" s="8">
        <v>180051</v>
      </c>
      <c r="F317" s="8">
        <v>181899</v>
      </c>
      <c r="G317" s="8">
        <v>183540</v>
      </c>
      <c r="H317" s="8">
        <v>184898</v>
      </c>
    </row>
    <row r="318" spans="1:8" x14ac:dyDescent="0.3">
      <c r="A318" s="7">
        <v>1083</v>
      </c>
      <c r="B318" s="7" t="s">
        <v>463</v>
      </c>
      <c r="C318" s="7" t="s">
        <v>834</v>
      </c>
      <c r="D318" s="8">
        <v>104209</v>
      </c>
      <c r="E318" s="8">
        <v>107285</v>
      </c>
      <c r="F318" s="8">
        <v>110926</v>
      </c>
      <c r="G318" s="8">
        <v>114803</v>
      </c>
      <c r="H318" s="8">
        <v>118942</v>
      </c>
    </row>
    <row r="319" spans="1:8" x14ac:dyDescent="0.3">
      <c r="A319" s="7">
        <v>19113</v>
      </c>
      <c r="B319" s="7" t="s">
        <v>627</v>
      </c>
      <c r="C319" s="7" t="s">
        <v>533</v>
      </c>
      <c r="D319" s="8">
        <v>230433</v>
      </c>
      <c r="E319" s="8">
        <v>229474</v>
      </c>
      <c r="F319" s="8">
        <v>228947</v>
      </c>
      <c r="G319" s="8">
        <v>229402</v>
      </c>
      <c r="H319" s="8">
        <v>231762</v>
      </c>
    </row>
    <row r="320" spans="1:8" x14ac:dyDescent="0.3">
      <c r="A320" s="7">
        <v>41043</v>
      </c>
      <c r="B320" s="7" t="s">
        <v>21</v>
      </c>
      <c r="C320" s="7" t="s">
        <v>533</v>
      </c>
      <c r="D320" s="8">
        <v>128967</v>
      </c>
      <c r="E320" s="8">
        <v>130062</v>
      </c>
      <c r="F320" s="8">
        <v>130516</v>
      </c>
      <c r="G320" s="8">
        <v>131509</v>
      </c>
      <c r="H320" s="8">
        <v>132474</v>
      </c>
    </row>
    <row r="321" spans="1:8" x14ac:dyDescent="0.3">
      <c r="A321" s="7">
        <v>26093</v>
      </c>
      <c r="B321" s="7" t="s">
        <v>480</v>
      </c>
      <c r="C321" s="7" t="s">
        <v>895</v>
      </c>
      <c r="D321" s="8">
        <v>193989</v>
      </c>
      <c r="E321" s="8">
        <v>195344</v>
      </c>
      <c r="F321" s="8">
        <v>196083</v>
      </c>
      <c r="G321" s="8">
        <v>196772</v>
      </c>
      <c r="H321" s="8">
        <v>196976</v>
      </c>
    </row>
    <row r="322" spans="1:8" x14ac:dyDescent="0.3">
      <c r="A322" s="7">
        <v>22063</v>
      </c>
      <c r="B322" s="7" t="s">
        <v>24</v>
      </c>
      <c r="C322" s="7" t="s">
        <v>527</v>
      </c>
      <c r="D322" s="8">
        <v>142846</v>
      </c>
      <c r="E322" s="8">
        <v>146143</v>
      </c>
      <c r="F322" s="8">
        <v>148131</v>
      </c>
      <c r="G322" s="8">
        <v>150570</v>
      </c>
      <c r="H322" s="8">
        <v>152886</v>
      </c>
    </row>
    <row r="323" spans="1:8" x14ac:dyDescent="0.3">
      <c r="A323" s="7">
        <v>39093</v>
      </c>
      <c r="B323" s="7" t="s">
        <v>447</v>
      </c>
      <c r="C323" s="7" t="s">
        <v>561</v>
      </c>
      <c r="D323" s="8">
        <v>313534</v>
      </c>
      <c r="E323" s="8">
        <v>314301</v>
      </c>
      <c r="F323" s="8">
        <v>316616</v>
      </c>
      <c r="G323" s="8">
        <v>319163</v>
      </c>
      <c r="H323" s="8">
        <v>322030</v>
      </c>
    </row>
    <row r="324" spans="1:8" x14ac:dyDescent="0.3">
      <c r="A324" s="7">
        <v>6037</v>
      </c>
      <c r="B324" s="7" t="s">
        <v>15</v>
      </c>
      <c r="C324" s="7" t="s">
        <v>964</v>
      </c>
      <c r="D324" s="8">
        <v>9996634</v>
      </c>
      <c r="E324" s="8">
        <v>9809239</v>
      </c>
      <c r="F324" s="8">
        <v>9748447</v>
      </c>
      <c r="G324" s="8">
        <v>9731837</v>
      </c>
      <c r="H324" s="8">
        <v>9757179</v>
      </c>
    </row>
    <row r="325" spans="1:8" x14ac:dyDescent="0.3">
      <c r="A325" s="7">
        <v>51107</v>
      </c>
      <c r="B325" s="7" t="s">
        <v>239</v>
      </c>
      <c r="C325" s="7" t="s">
        <v>899</v>
      </c>
      <c r="D325" s="8">
        <v>422723</v>
      </c>
      <c r="E325" s="8">
        <v>428827</v>
      </c>
      <c r="F325" s="8">
        <v>432897</v>
      </c>
      <c r="G325" s="8">
        <v>437164</v>
      </c>
      <c r="H325" s="8">
        <v>443380</v>
      </c>
    </row>
    <row r="326" spans="1:8" x14ac:dyDescent="0.3">
      <c r="A326" s="7">
        <v>9130</v>
      </c>
      <c r="B326" s="7" t="s">
        <v>907</v>
      </c>
      <c r="C326" s="7" t="s">
        <v>965</v>
      </c>
      <c r="D326" s="8">
        <v>173281</v>
      </c>
      <c r="E326" s="8">
        <v>175456</v>
      </c>
      <c r="F326" s="8">
        <v>176159</v>
      </c>
      <c r="G326" s="8">
        <v>176674</v>
      </c>
      <c r="H326" s="8">
        <v>177540</v>
      </c>
    </row>
    <row r="327" spans="1:8" x14ac:dyDescent="0.3">
      <c r="A327" s="7">
        <v>13185</v>
      </c>
      <c r="B327" s="7" t="s">
        <v>469</v>
      </c>
      <c r="C327" s="7" t="s">
        <v>820</v>
      </c>
      <c r="D327" s="8">
        <v>118432</v>
      </c>
      <c r="E327" s="8">
        <v>118966</v>
      </c>
      <c r="F327" s="8">
        <v>119547</v>
      </c>
      <c r="G327" s="8">
        <v>120800</v>
      </c>
      <c r="H327" s="8">
        <v>122082</v>
      </c>
    </row>
    <row r="328" spans="1:8" x14ac:dyDescent="0.3">
      <c r="A328" s="7">
        <v>48303</v>
      </c>
      <c r="B328" s="7" t="s">
        <v>604</v>
      </c>
      <c r="C328" s="7" t="s">
        <v>801</v>
      </c>
      <c r="D328" s="8">
        <v>311590</v>
      </c>
      <c r="E328" s="8">
        <v>314677</v>
      </c>
      <c r="F328" s="8">
        <v>318324</v>
      </c>
      <c r="G328" s="8">
        <v>322434</v>
      </c>
      <c r="H328" s="8">
        <v>327394</v>
      </c>
    </row>
    <row r="329" spans="1:8" x14ac:dyDescent="0.3">
      <c r="A329" s="7">
        <v>39095</v>
      </c>
      <c r="B329" s="7" t="s">
        <v>447</v>
      </c>
      <c r="C329" s="7" t="s">
        <v>485</v>
      </c>
      <c r="D329" s="8">
        <v>430870</v>
      </c>
      <c r="E329" s="8">
        <v>429535</v>
      </c>
      <c r="F329" s="8">
        <v>427154</v>
      </c>
      <c r="G329" s="8">
        <v>426240</v>
      </c>
      <c r="H329" s="8">
        <v>426291</v>
      </c>
    </row>
    <row r="330" spans="1:8" x14ac:dyDescent="0.3">
      <c r="A330" s="7">
        <v>42079</v>
      </c>
      <c r="B330" s="7" t="s">
        <v>19</v>
      </c>
      <c r="C330" s="7" t="s">
        <v>614</v>
      </c>
      <c r="D330" s="8">
        <v>325222</v>
      </c>
      <c r="E330" s="8">
        <v>325975</v>
      </c>
      <c r="F330" s="8">
        <v>326892</v>
      </c>
      <c r="G330" s="8">
        <v>328909</v>
      </c>
      <c r="H330" s="8">
        <v>331379</v>
      </c>
    </row>
    <row r="331" spans="1:8" x14ac:dyDescent="0.3">
      <c r="A331" s="7">
        <v>42081</v>
      </c>
      <c r="B331" s="7" t="s">
        <v>19</v>
      </c>
      <c r="C331" s="7" t="s">
        <v>840</v>
      </c>
      <c r="D331" s="8">
        <v>114130</v>
      </c>
      <c r="E331" s="8">
        <v>113576</v>
      </c>
      <c r="F331" s="8">
        <v>113223</v>
      </c>
      <c r="G331" s="8">
        <v>113282</v>
      </c>
      <c r="H331" s="8">
        <v>113236</v>
      </c>
    </row>
    <row r="332" spans="1:8" x14ac:dyDescent="0.3">
      <c r="A332" s="7">
        <v>26099</v>
      </c>
      <c r="B332" s="7" t="s">
        <v>480</v>
      </c>
      <c r="C332" s="7" t="s">
        <v>697</v>
      </c>
      <c r="D332" s="8">
        <v>880294</v>
      </c>
      <c r="E332" s="8">
        <v>877789</v>
      </c>
      <c r="F332" s="8">
        <v>875735</v>
      </c>
      <c r="G332" s="8">
        <v>879271</v>
      </c>
      <c r="H332" s="8">
        <v>886175</v>
      </c>
    </row>
    <row r="333" spans="1:8" x14ac:dyDescent="0.3">
      <c r="A333" s="7">
        <v>17115</v>
      </c>
      <c r="B333" s="7" t="s">
        <v>262</v>
      </c>
      <c r="C333" s="7" t="s">
        <v>578</v>
      </c>
      <c r="D333" s="8">
        <v>103764</v>
      </c>
      <c r="E333" s="8">
        <v>102619</v>
      </c>
      <c r="F333" s="8">
        <v>101369</v>
      </c>
      <c r="G333" s="8">
        <v>100754</v>
      </c>
      <c r="H333" s="8">
        <v>100737</v>
      </c>
    </row>
    <row r="334" spans="1:8" x14ac:dyDescent="0.3">
      <c r="A334" s="7">
        <v>6039</v>
      </c>
      <c r="B334" s="7" t="s">
        <v>15</v>
      </c>
      <c r="C334" s="7" t="s">
        <v>848</v>
      </c>
      <c r="D334" s="8">
        <v>156434</v>
      </c>
      <c r="E334" s="8">
        <v>159019</v>
      </c>
      <c r="F334" s="8">
        <v>160414</v>
      </c>
      <c r="G334" s="8">
        <v>163402</v>
      </c>
      <c r="H334" s="8">
        <v>165432</v>
      </c>
    </row>
    <row r="335" spans="1:8" x14ac:dyDescent="0.3">
      <c r="A335" s="7">
        <v>28089</v>
      </c>
      <c r="B335" s="7" t="s">
        <v>257</v>
      </c>
      <c r="C335" s="7" t="s">
        <v>260</v>
      </c>
      <c r="D335" s="8">
        <v>109252</v>
      </c>
      <c r="E335" s="8">
        <v>109972</v>
      </c>
      <c r="F335" s="8">
        <v>111694</v>
      </c>
      <c r="G335" s="8">
        <v>113068</v>
      </c>
      <c r="H335" s="8">
        <v>114247</v>
      </c>
    </row>
    <row r="336" spans="1:8" x14ac:dyDescent="0.3">
      <c r="A336" s="7">
        <v>18095</v>
      </c>
      <c r="B336" s="7" t="s">
        <v>35</v>
      </c>
      <c r="C336" s="7" t="s">
        <v>260</v>
      </c>
      <c r="D336" s="8">
        <v>130160</v>
      </c>
      <c r="E336" s="8">
        <v>130846</v>
      </c>
      <c r="F336" s="8">
        <v>131524</v>
      </c>
      <c r="G336" s="8">
        <v>132746</v>
      </c>
      <c r="H336" s="8">
        <v>134222</v>
      </c>
    </row>
    <row r="337" spans="1:8" x14ac:dyDescent="0.3">
      <c r="A337" s="7">
        <v>1089</v>
      </c>
      <c r="B337" s="7" t="s">
        <v>463</v>
      </c>
      <c r="C337" s="7" t="s">
        <v>260</v>
      </c>
      <c r="D337" s="8">
        <v>390527</v>
      </c>
      <c r="E337" s="8">
        <v>396663</v>
      </c>
      <c r="F337" s="8">
        <v>404155</v>
      </c>
      <c r="G337" s="8">
        <v>413891</v>
      </c>
      <c r="H337" s="8">
        <v>423355</v>
      </c>
    </row>
    <row r="338" spans="1:8" x14ac:dyDescent="0.3">
      <c r="A338" s="7">
        <v>17119</v>
      </c>
      <c r="B338" s="7" t="s">
        <v>262</v>
      </c>
      <c r="C338" s="7" t="s">
        <v>260</v>
      </c>
      <c r="D338" s="8">
        <v>265749</v>
      </c>
      <c r="E338" s="8">
        <v>265001</v>
      </c>
      <c r="F338" s="8">
        <v>263981</v>
      </c>
      <c r="G338" s="8">
        <v>263442</v>
      </c>
      <c r="H338" s="8">
        <v>263017</v>
      </c>
    </row>
    <row r="339" spans="1:8" x14ac:dyDescent="0.3">
      <c r="A339" s="7">
        <v>47113</v>
      </c>
      <c r="B339" s="7" t="s">
        <v>27</v>
      </c>
      <c r="C339" s="7" t="s">
        <v>260</v>
      </c>
      <c r="D339" s="8">
        <v>98834</v>
      </c>
      <c r="E339" s="8">
        <v>98580</v>
      </c>
      <c r="F339" s="8">
        <v>99264</v>
      </c>
      <c r="G339" s="8">
        <v>99390</v>
      </c>
      <c r="H339" s="8">
        <v>100409</v>
      </c>
    </row>
    <row r="340" spans="1:8" x14ac:dyDescent="0.3">
      <c r="A340" s="7">
        <v>39099</v>
      </c>
      <c r="B340" s="7" t="s">
        <v>447</v>
      </c>
      <c r="C340" s="7" t="s">
        <v>478</v>
      </c>
      <c r="D340" s="8">
        <v>228017</v>
      </c>
      <c r="E340" s="8">
        <v>226559</v>
      </c>
      <c r="F340" s="8">
        <v>226104</v>
      </c>
      <c r="G340" s="8">
        <v>225988</v>
      </c>
      <c r="H340" s="8">
        <v>225786</v>
      </c>
    </row>
    <row r="341" spans="1:8" x14ac:dyDescent="0.3">
      <c r="A341" s="7">
        <v>12081</v>
      </c>
      <c r="B341" s="7" t="s">
        <v>50</v>
      </c>
      <c r="C341" s="7" t="s">
        <v>819</v>
      </c>
      <c r="D341" s="8">
        <v>401644</v>
      </c>
      <c r="E341" s="8">
        <v>413805</v>
      </c>
      <c r="F341" s="8">
        <v>430700</v>
      </c>
      <c r="G341" s="8">
        <v>444457</v>
      </c>
      <c r="H341" s="8">
        <v>458352</v>
      </c>
    </row>
    <row r="342" spans="1:8" x14ac:dyDescent="0.3">
      <c r="A342" s="7">
        <v>55073</v>
      </c>
      <c r="B342" s="7" t="s">
        <v>38</v>
      </c>
      <c r="C342" s="7" t="s">
        <v>807</v>
      </c>
      <c r="D342" s="8">
        <v>138114</v>
      </c>
      <c r="E342" s="8">
        <v>137798</v>
      </c>
      <c r="F342" s="8">
        <v>138175</v>
      </c>
      <c r="G342" s="8">
        <v>138838</v>
      </c>
      <c r="H342" s="8">
        <v>139091</v>
      </c>
    </row>
    <row r="343" spans="1:8" x14ac:dyDescent="0.3">
      <c r="A343" s="7">
        <v>4013</v>
      </c>
      <c r="B343" s="7" t="s">
        <v>43</v>
      </c>
      <c r="C343" s="7" t="s">
        <v>966</v>
      </c>
      <c r="D343" s="8">
        <v>4445415</v>
      </c>
      <c r="E343" s="8">
        <v>4500147</v>
      </c>
      <c r="F343" s="8">
        <v>4564457</v>
      </c>
      <c r="G343" s="8">
        <v>4615625</v>
      </c>
      <c r="H343" s="8">
        <v>4673096</v>
      </c>
    </row>
    <row r="344" spans="1:8" x14ac:dyDescent="0.3">
      <c r="A344" s="7">
        <v>6041</v>
      </c>
      <c r="B344" s="7" t="s">
        <v>15</v>
      </c>
      <c r="C344" s="7" t="s">
        <v>706</v>
      </c>
      <c r="D344" s="8">
        <v>261341</v>
      </c>
      <c r="E344" s="8">
        <v>259254</v>
      </c>
      <c r="F344" s="8">
        <v>257143</v>
      </c>
      <c r="G344" s="8">
        <v>255706</v>
      </c>
      <c r="H344" s="8">
        <v>256400</v>
      </c>
    </row>
    <row r="345" spans="1:8" x14ac:dyDescent="0.3">
      <c r="A345" s="7">
        <v>18097</v>
      </c>
      <c r="B345" s="7" t="s">
        <v>35</v>
      </c>
      <c r="C345" s="7" t="s">
        <v>34</v>
      </c>
      <c r="D345" s="8">
        <v>976706</v>
      </c>
      <c r="E345" s="8">
        <v>971682</v>
      </c>
      <c r="F345" s="8">
        <v>973375</v>
      </c>
      <c r="G345" s="8">
        <v>975654</v>
      </c>
      <c r="H345" s="8">
        <v>981628</v>
      </c>
    </row>
    <row r="346" spans="1:8" x14ac:dyDescent="0.3">
      <c r="A346" s="7">
        <v>12083</v>
      </c>
      <c r="B346" s="7" t="s">
        <v>50</v>
      </c>
      <c r="C346" s="7" t="s">
        <v>34</v>
      </c>
      <c r="D346" s="8">
        <v>377464</v>
      </c>
      <c r="E346" s="8">
        <v>385024</v>
      </c>
      <c r="F346" s="8">
        <v>396661</v>
      </c>
      <c r="G346" s="8">
        <v>412338</v>
      </c>
      <c r="H346" s="8">
        <v>428905</v>
      </c>
    </row>
    <row r="347" spans="1:8" x14ac:dyDescent="0.3">
      <c r="A347" s="7">
        <v>41047</v>
      </c>
      <c r="B347" s="7" t="s">
        <v>21</v>
      </c>
      <c r="C347" s="7" t="s">
        <v>34</v>
      </c>
      <c r="D347" s="8">
        <v>346305</v>
      </c>
      <c r="E347" s="8">
        <v>347784</v>
      </c>
      <c r="F347" s="8">
        <v>349388</v>
      </c>
      <c r="G347" s="8">
        <v>349874</v>
      </c>
      <c r="H347" s="8">
        <v>352867</v>
      </c>
    </row>
    <row r="348" spans="1:8" x14ac:dyDescent="0.3">
      <c r="A348" s="7">
        <v>1095</v>
      </c>
      <c r="B348" s="7" t="s">
        <v>463</v>
      </c>
      <c r="C348" s="7" t="s">
        <v>680</v>
      </c>
      <c r="D348" s="8">
        <v>97706</v>
      </c>
      <c r="E348" s="8">
        <v>98268</v>
      </c>
      <c r="F348" s="8">
        <v>99570</v>
      </c>
      <c r="G348" s="8">
        <v>101041</v>
      </c>
      <c r="H348" s="8">
        <v>102156</v>
      </c>
    </row>
    <row r="349" spans="1:8" x14ac:dyDescent="0.3">
      <c r="A349" s="7">
        <v>12085</v>
      </c>
      <c r="B349" s="7" t="s">
        <v>50</v>
      </c>
      <c r="C349" s="7" t="s">
        <v>754</v>
      </c>
      <c r="D349" s="8">
        <v>158669</v>
      </c>
      <c r="E349" s="8">
        <v>159925</v>
      </c>
      <c r="F349" s="8">
        <v>162379</v>
      </c>
      <c r="G349" s="8">
        <v>164241</v>
      </c>
      <c r="H349" s="8">
        <v>165666</v>
      </c>
    </row>
    <row r="350" spans="1:8" x14ac:dyDescent="0.3">
      <c r="A350" s="7">
        <v>2170</v>
      </c>
      <c r="B350" s="7" t="s">
        <v>232</v>
      </c>
      <c r="C350" s="7" t="s">
        <v>271</v>
      </c>
      <c r="D350" s="8">
        <v>107522</v>
      </c>
      <c r="E350" s="8">
        <v>111003</v>
      </c>
      <c r="F350" s="8">
        <v>113505</v>
      </c>
      <c r="G350" s="8">
        <v>115296</v>
      </c>
      <c r="H350" s="8">
        <v>117613</v>
      </c>
    </row>
    <row r="351" spans="1:8" x14ac:dyDescent="0.3">
      <c r="A351" s="7">
        <v>15009</v>
      </c>
      <c r="B351" s="7" t="s">
        <v>526</v>
      </c>
      <c r="C351" s="7" t="s">
        <v>525</v>
      </c>
      <c r="D351" s="8">
        <v>164802</v>
      </c>
      <c r="E351" s="8">
        <v>164815</v>
      </c>
      <c r="F351" s="8">
        <v>164479</v>
      </c>
      <c r="G351" s="8">
        <v>164754</v>
      </c>
      <c r="H351" s="8">
        <v>163688</v>
      </c>
    </row>
    <row r="352" spans="1:8" x14ac:dyDescent="0.3">
      <c r="A352" s="7">
        <v>47119</v>
      </c>
      <c r="B352" s="7" t="s">
        <v>27</v>
      </c>
      <c r="C352" s="7" t="s">
        <v>546</v>
      </c>
      <c r="D352" s="8">
        <v>101836</v>
      </c>
      <c r="E352" s="8">
        <v>104965</v>
      </c>
      <c r="F352" s="8">
        <v>108007</v>
      </c>
      <c r="G352" s="8">
        <v>110734</v>
      </c>
      <c r="H352" s="8">
        <v>113411</v>
      </c>
    </row>
    <row r="353" spans="1:8" x14ac:dyDescent="0.3">
      <c r="A353" s="7">
        <v>17111</v>
      </c>
      <c r="B353" s="7" t="s">
        <v>262</v>
      </c>
      <c r="C353" s="7" t="s">
        <v>781</v>
      </c>
      <c r="D353" s="8">
        <v>309973</v>
      </c>
      <c r="E353" s="8">
        <v>311669</v>
      </c>
      <c r="F353" s="8">
        <v>311921</v>
      </c>
      <c r="G353" s="8">
        <v>313435</v>
      </c>
      <c r="H353" s="8">
        <v>315959</v>
      </c>
    </row>
    <row r="354" spans="1:8" x14ac:dyDescent="0.3">
      <c r="A354" s="7">
        <v>17113</v>
      </c>
      <c r="B354" s="7" t="s">
        <v>262</v>
      </c>
      <c r="C354" s="7" t="s">
        <v>796</v>
      </c>
      <c r="D354" s="8">
        <v>171236</v>
      </c>
      <c r="E354" s="8">
        <v>171411</v>
      </c>
      <c r="F354" s="8">
        <v>171571</v>
      </c>
      <c r="G354" s="8">
        <v>171493</v>
      </c>
      <c r="H354" s="8">
        <v>172069</v>
      </c>
    </row>
    <row r="355" spans="1:8" x14ac:dyDescent="0.3">
      <c r="A355" s="7">
        <v>48309</v>
      </c>
      <c r="B355" s="7" t="s">
        <v>604</v>
      </c>
      <c r="C355" s="7" t="s">
        <v>839</v>
      </c>
      <c r="D355" s="8">
        <v>261192</v>
      </c>
      <c r="E355" s="8">
        <v>263751</v>
      </c>
      <c r="F355" s="8">
        <v>266254</v>
      </c>
      <c r="G355" s="8">
        <v>268778</v>
      </c>
      <c r="H355" s="8">
        <v>270358</v>
      </c>
    </row>
    <row r="356" spans="1:8" x14ac:dyDescent="0.3">
      <c r="A356" s="7">
        <v>37119</v>
      </c>
      <c r="B356" s="7" t="s">
        <v>467</v>
      </c>
      <c r="C356" s="7" t="s">
        <v>666</v>
      </c>
      <c r="D356" s="8">
        <v>1116263</v>
      </c>
      <c r="E356" s="8">
        <v>1125279</v>
      </c>
      <c r="F356" s="8">
        <v>1149349</v>
      </c>
      <c r="G356" s="8">
        <v>1176228</v>
      </c>
      <c r="H356" s="8">
        <v>1206285</v>
      </c>
    </row>
    <row r="357" spans="1:8" x14ac:dyDescent="0.3">
      <c r="A357" s="7">
        <v>39103</v>
      </c>
      <c r="B357" s="7" t="s">
        <v>447</v>
      </c>
      <c r="C357" s="7" t="s">
        <v>890</v>
      </c>
      <c r="D357" s="8">
        <v>182639</v>
      </c>
      <c r="E357" s="8">
        <v>183403</v>
      </c>
      <c r="F357" s="8">
        <v>183520</v>
      </c>
      <c r="G357" s="8">
        <v>184115</v>
      </c>
      <c r="H357" s="8">
        <v>184625</v>
      </c>
    </row>
    <row r="358" spans="1:8" x14ac:dyDescent="0.3">
      <c r="A358" s="7">
        <v>6047</v>
      </c>
      <c r="B358" s="7" t="s">
        <v>15</v>
      </c>
      <c r="C358" s="7" t="s">
        <v>661</v>
      </c>
      <c r="D358" s="8">
        <v>282963</v>
      </c>
      <c r="E358" s="8">
        <v>284834</v>
      </c>
      <c r="F358" s="8">
        <v>292034</v>
      </c>
      <c r="G358" s="8">
        <v>294402</v>
      </c>
      <c r="H358" s="8">
        <v>296774</v>
      </c>
    </row>
    <row r="359" spans="1:8" x14ac:dyDescent="0.3">
      <c r="A359" s="7">
        <v>34021</v>
      </c>
      <c r="B359" s="7" t="s">
        <v>237</v>
      </c>
      <c r="C359" s="7" t="s">
        <v>574</v>
      </c>
      <c r="D359" s="8">
        <v>386492</v>
      </c>
      <c r="E359" s="8">
        <v>382231</v>
      </c>
      <c r="F359" s="8">
        <v>382165</v>
      </c>
      <c r="G359" s="8">
        <v>386296</v>
      </c>
      <c r="H359" s="8">
        <v>392138</v>
      </c>
    </row>
    <row r="360" spans="1:8" x14ac:dyDescent="0.3">
      <c r="A360" s="7">
        <v>42085</v>
      </c>
      <c r="B360" s="7" t="s">
        <v>19</v>
      </c>
      <c r="C360" s="7" t="s">
        <v>574</v>
      </c>
      <c r="D360" s="8">
        <v>110548</v>
      </c>
      <c r="E360" s="8">
        <v>109964</v>
      </c>
      <c r="F360" s="8">
        <v>109115</v>
      </c>
      <c r="G360" s="8">
        <v>108519</v>
      </c>
      <c r="H360" s="8">
        <v>108140</v>
      </c>
    </row>
    <row r="361" spans="1:8" x14ac:dyDescent="0.3">
      <c r="A361" s="7">
        <v>33013</v>
      </c>
      <c r="B361" s="7" t="s">
        <v>590</v>
      </c>
      <c r="C361" s="7" t="s">
        <v>653</v>
      </c>
      <c r="D361" s="8">
        <v>154039</v>
      </c>
      <c r="E361" s="8">
        <v>154627</v>
      </c>
      <c r="F361" s="8">
        <v>156241</v>
      </c>
      <c r="G361" s="8">
        <v>157059</v>
      </c>
      <c r="H361" s="8">
        <v>157869</v>
      </c>
    </row>
    <row r="362" spans="1:8" x14ac:dyDescent="0.3">
      <c r="A362" s="7">
        <v>8077</v>
      </c>
      <c r="B362" s="7" t="s">
        <v>17</v>
      </c>
      <c r="C362" s="7" t="s">
        <v>648</v>
      </c>
      <c r="D362" s="8">
        <v>156011</v>
      </c>
      <c r="E362" s="8">
        <v>157458</v>
      </c>
      <c r="F362" s="8">
        <v>158585</v>
      </c>
      <c r="G362" s="8">
        <v>159690</v>
      </c>
      <c r="H362" s="8">
        <v>161260</v>
      </c>
    </row>
    <row r="363" spans="1:8" x14ac:dyDescent="0.3">
      <c r="A363" s="7">
        <v>39109</v>
      </c>
      <c r="B363" s="7" t="s">
        <v>447</v>
      </c>
      <c r="C363" s="7" t="s">
        <v>802</v>
      </c>
      <c r="D363" s="8">
        <v>108962</v>
      </c>
      <c r="E363" s="8">
        <v>109426</v>
      </c>
      <c r="F363" s="8">
        <v>110245</v>
      </c>
      <c r="G363" s="8">
        <v>110898</v>
      </c>
      <c r="H363" s="8">
        <v>111950</v>
      </c>
    </row>
    <row r="364" spans="1:8" x14ac:dyDescent="0.3">
      <c r="A364" s="7">
        <v>12086</v>
      </c>
      <c r="B364" s="7" t="s">
        <v>50</v>
      </c>
      <c r="C364" s="7" t="s">
        <v>860</v>
      </c>
      <c r="D364" s="8">
        <v>2695729</v>
      </c>
      <c r="E364" s="8">
        <v>2669925</v>
      </c>
      <c r="F364" s="8">
        <v>2713415</v>
      </c>
      <c r="G364" s="8">
        <v>2774250</v>
      </c>
      <c r="H364" s="8">
        <v>2838461</v>
      </c>
    </row>
    <row r="365" spans="1:8" x14ac:dyDescent="0.3">
      <c r="A365" s="7">
        <v>34023</v>
      </c>
      <c r="B365" s="7" t="s">
        <v>237</v>
      </c>
      <c r="C365" s="7" t="s">
        <v>806</v>
      </c>
      <c r="D365" s="8">
        <v>861460</v>
      </c>
      <c r="E365" s="8">
        <v>862513</v>
      </c>
      <c r="F365" s="8">
        <v>866241</v>
      </c>
      <c r="G365" s="8">
        <v>876119</v>
      </c>
      <c r="H365" s="8">
        <v>890119</v>
      </c>
    </row>
    <row r="366" spans="1:8" x14ac:dyDescent="0.3">
      <c r="A366" s="7">
        <v>25017</v>
      </c>
      <c r="B366" s="7" t="s">
        <v>453</v>
      </c>
      <c r="C366" s="7" t="s">
        <v>806</v>
      </c>
      <c r="D366" s="8">
        <v>1627578</v>
      </c>
      <c r="E366" s="8">
        <v>1620553</v>
      </c>
      <c r="F366" s="8">
        <v>1629805</v>
      </c>
      <c r="G366" s="8">
        <v>1644932</v>
      </c>
      <c r="H366" s="8">
        <v>1668956</v>
      </c>
    </row>
    <row r="367" spans="1:8" x14ac:dyDescent="0.3">
      <c r="A367" s="7">
        <v>48329</v>
      </c>
      <c r="B367" s="7" t="s">
        <v>604</v>
      </c>
      <c r="C367" s="7" t="s">
        <v>856</v>
      </c>
      <c r="D367" s="8">
        <v>170725</v>
      </c>
      <c r="E367" s="8">
        <v>168629</v>
      </c>
      <c r="F367" s="8">
        <v>172705</v>
      </c>
      <c r="G367" s="8">
        <v>178357</v>
      </c>
      <c r="H367" s="8">
        <v>183587</v>
      </c>
    </row>
    <row r="368" spans="1:8" x14ac:dyDescent="0.3">
      <c r="A368" s="7">
        <v>55079</v>
      </c>
      <c r="B368" s="7" t="s">
        <v>38</v>
      </c>
      <c r="C368" s="7" t="s">
        <v>37</v>
      </c>
      <c r="D368" s="8">
        <v>938609</v>
      </c>
      <c r="E368" s="8">
        <v>924469</v>
      </c>
      <c r="F368" s="8">
        <v>921977</v>
      </c>
      <c r="G368" s="8">
        <v>921860</v>
      </c>
      <c r="H368" s="8">
        <v>924740</v>
      </c>
    </row>
    <row r="369" spans="1:8" x14ac:dyDescent="0.3">
      <c r="A369" s="7">
        <v>46099</v>
      </c>
      <c r="B369" s="7" t="s">
        <v>712</v>
      </c>
      <c r="C369" s="7" t="s">
        <v>711</v>
      </c>
      <c r="D369" s="8">
        <v>197718</v>
      </c>
      <c r="E369" s="8">
        <v>199947</v>
      </c>
      <c r="F369" s="8">
        <v>203675</v>
      </c>
      <c r="G369" s="8">
        <v>206464</v>
      </c>
      <c r="H369" s="8">
        <v>208639</v>
      </c>
    </row>
    <row r="370" spans="1:8" x14ac:dyDescent="0.3">
      <c r="A370" s="7">
        <v>30063</v>
      </c>
      <c r="B370" s="7" t="s">
        <v>623</v>
      </c>
      <c r="C370" s="7" t="s">
        <v>768</v>
      </c>
      <c r="D370" s="8">
        <v>118353</v>
      </c>
      <c r="E370" s="8">
        <v>119857</v>
      </c>
      <c r="F370" s="8">
        <v>120931</v>
      </c>
      <c r="G370" s="8">
        <v>121672</v>
      </c>
      <c r="H370" s="8">
        <v>122546</v>
      </c>
    </row>
    <row r="371" spans="1:8" x14ac:dyDescent="0.3">
      <c r="A371" s="7">
        <v>1097</v>
      </c>
      <c r="B371" s="7" t="s">
        <v>463</v>
      </c>
      <c r="C371" s="7" t="s">
        <v>591</v>
      </c>
      <c r="D371" s="8">
        <v>414409</v>
      </c>
      <c r="E371" s="8">
        <v>413164</v>
      </c>
      <c r="F371" s="8">
        <v>411291</v>
      </c>
      <c r="G371" s="8">
        <v>411745</v>
      </c>
      <c r="H371" s="8">
        <v>412339</v>
      </c>
    </row>
    <row r="372" spans="1:8" x14ac:dyDescent="0.3">
      <c r="A372" s="7">
        <v>4015</v>
      </c>
      <c r="B372" s="7" t="s">
        <v>43</v>
      </c>
      <c r="C372" s="7" t="s">
        <v>235</v>
      </c>
      <c r="D372" s="8">
        <v>214173</v>
      </c>
      <c r="E372" s="8">
        <v>217186</v>
      </c>
      <c r="F372" s="8">
        <v>220947</v>
      </c>
      <c r="G372" s="8">
        <v>223801</v>
      </c>
      <c r="H372" s="8">
        <v>226479</v>
      </c>
    </row>
    <row r="373" spans="1:8" x14ac:dyDescent="0.3">
      <c r="A373" s="7">
        <v>34025</v>
      </c>
      <c r="B373" s="7" t="s">
        <v>237</v>
      </c>
      <c r="C373" s="7" t="s">
        <v>753</v>
      </c>
      <c r="D373" s="8">
        <v>642778</v>
      </c>
      <c r="E373" s="8">
        <v>646531</v>
      </c>
      <c r="F373" s="8">
        <v>644994</v>
      </c>
      <c r="G373" s="8">
        <v>644941</v>
      </c>
      <c r="H373" s="8">
        <v>647520</v>
      </c>
    </row>
    <row r="374" spans="1:8" x14ac:dyDescent="0.3">
      <c r="A374" s="7">
        <v>54061</v>
      </c>
      <c r="B374" s="7" t="s">
        <v>253</v>
      </c>
      <c r="C374" s="7" t="s">
        <v>594</v>
      </c>
      <c r="D374" s="8">
        <v>105912</v>
      </c>
      <c r="E374" s="8">
        <v>106537</v>
      </c>
      <c r="F374" s="8">
        <v>106921</v>
      </c>
      <c r="G374" s="8">
        <v>107749</v>
      </c>
      <c r="H374" s="8">
        <v>108697</v>
      </c>
    </row>
    <row r="375" spans="1:8" x14ac:dyDescent="0.3">
      <c r="A375" s="7">
        <v>18105</v>
      </c>
      <c r="B375" s="7" t="s">
        <v>35</v>
      </c>
      <c r="C375" s="7" t="s">
        <v>487</v>
      </c>
      <c r="D375" s="8">
        <v>140645</v>
      </c>
      <c r="E375" s="8">
        <v>141243</v>
      </c>
      <c r="F375" s="8">
        <v>141181</v>
      </c>
      <c r="G375" s="8">
        <v>141052</v>
      </c>
      <c r="H375" s="8">
        <v>140702</v>
      </c>
    </row>
    <row r="376" spans="1:8" x14ac:dyDescent="0.3">
      <c r="A376" s="7">
        <v>36055</v>
      </c>
      <c r="B376" s="7" t="s">
        <v>32</v>
      </c>
      <c r="C376" s="7" t="s">
        <v>487</v>
      </c>
      <c r="D376" s="8">
        <v>757747</v>
      </c>
      <c r="E376" s="8">
        <v>756089</v>
      </c>
      <c r="F376" s="8">
        <v>751827</v>
      </c>
      <c r="G376" s="8">
        <v>750901</v>
      </c>
      <c r="H376" s="8">
        <v>752202</v>
      </c>
    </row>
    <row r="377" spans="1:8" x14ac:dyDescent="0.3">
      <c r="A377" s="7">
        <v>26115</v>
      </c>
      <c r="B377" s="7" t="s">
        <v>480</v>
      </c>
      <c r="C377" s="7" t="s">
        <v>487</v>
      </c>
      <c r="D377" s="8">
        <v>154909</v>
      </c>
      <c r="E377" s="8">
        <v>155569</v>
      </c>
      <c r="F377" s="8">
        <v>155412</v>
      </c>
      <c r="G377" s="8">
        <v>155590</v>
      </c>
      <c r="H377" s="8">
        <v>156045</v>
      </c>
    </row>
    <row r="378" spans="1:8" x14ac:dyDescent="0.3">
      <c r="A378" s="7">
        <v>42089</v>
      </c>
      <c r="B378" s="7" t="s">
        <v>19</v>
      </c>
      <c r="C378" s="7" t="s">
        <v>487</v>
      </c>
      <c r="D378" s="8">
        <v>168326</v>
      </c>
      <c r="E378" s="8">
        <v>168708</v>
      </c>
      <c r="F378" s="8">
        <v>167437</v>
      </c>
      <c r="G378" s="8">
        <v>166581</v>
      </c>
      <c r="H378" s="8">
        <v>166523</v>
      </c>
    </row>
    <row r="379" spans="1:8" x14ac:dyDescent="0.3">
      <c r="A379" s="7">
        <v>6053</v>
      </c>
      <c r="B379" s="7" t="s">
        <v>15</v>
      </c>
      <c r="C379" s="7" t="s">
        <v>537</v>
      </c>
      <c r="D379" s="8">
        <v>440506</v>
      </c>
      <c r="E379" s="8">
        <v>439245</v>
      </c>
      <c r="F379" s="8">
        <v>436427</v>
      </c>
      <c r="G379" s="8">
        <v>435637</v>
      </c>
      <c r="H379" s="8">
        <v>436251</v>
      </c>
    </row>
    <row r="380" spans="1:8" x14ac:dyDescent="0.3">
      <c r="A380" s="7">
        <v>1101</v>
      </c>
      <c r="B380" s="7" t="s">
        <v>463</v>
      </c>
      <c r="C380" s="7" t="s">
        <v>502</v>
      </c>
      <c r="D380" s="8">
        <v>228363</v>
      </c>
      <c r="E380" s="8">
        <v>226811</v>
      </c>
      <c r="F380" s="8">
        <v>226554</v>
      </c>
      <c r="G380" s="8">
        <v>225966</v>
      </c>
      <c r="H380" s="8">
        <v>225894</v>
      </c>
    </row>
    <row r="381" spans="1:8" x14ac:dyDescent="0.3">
      <c r="A381" s="7">
        <v>39113</v>
      </c>
      <c r="B381" s="7" t="s">
        <v>447</v>
      </c>
      <c r="C381" s="7" t="s">
        <v>502</v>
      </c>
      <c r="D381" s="8">
        <v>537139</v>
      </c>
      <c r="E381" s="8">
        <v>536229</v>
      </c>
      <c r="F381" s="8">
        <v>534355</v>
      </c>
      <c r="G381" s="8">
        <v>535313</v>
      </c>
      <c r="H381" s="8">
        <v>537443</v>
      </c>
    </row>
    <row r="382" spans="1:8" x14ac:dyDescent="0.3">
      <c r="A382" s="7">
        <v>48339</v>
      </c>
      <c r="B382" s="7" t="s">
        <v>604</v>
      </c>
      <c r="C382" s="7" t="s">
        <v>502</v>
      </c>
      <c r="D382" s="8">
        <v>625420</v>
      </c>
      <c r="E382" s="8">
        <v>650960</v>
      </c>
      <c r="F382" s="8">
        <v>680824</v>
      </c>
      <c r="G382" s="8">
        <v>715345</v>
      </c>
      <c r="H382" s="8">
        <v>749613</v>
      </c>
    </row>
    <row r="383" spans="1:8" x14ac:dyDescent="0.3">
      <c r="A383" s="7">
        <v>47125</v>
      </c>
      <c r="B383" s="7" t="s">
        <v>27</v>
      </c>
      <c r="C383" s="7" t="s">
        <v>502</v>
      </c>
      <c r="D383" s="8">
        <v>221309</v>
      </c>
      <c r="E383" s="8">
        <v>227780</v>
      </c>
      <c r="F383" s="8">
        <v>235252</v>
      </c>
      <c r="G383" s="8">
        <v>240398</v>
      </c>
      <c r="H383" s="8">
        <v>246025</v>
      </c>
    </row>
    <row r="384" spans="1:8" x14ac:dyDescent="0.3">
      <c r="A384" s="7">
        <v>42091</v>
      </c>
      <c r="B384" s="7" t="s">
        <v>19</v>
      </c>
      <c r="C384" s="7" t="s">
        <v>502</v>
      </c>
      <c r="D384" s="8">
        <v>856900</v>
      </c>
      <c r="E384" s="8">
        <v>864252</v>
      </c>
      <c r="F384" s="8">
        <v>865848</v>
      </c>
      <c r="G384" s="8">
        <v>871673</v>
      </c>
      <c r="H384" s="8">
        <v>879190</v>
      </c>
    </row>
    <row r="385" spans="1:8" x14ac:dyDescent="0.3">
      <c r="A385" s="7">
        <v>24031</v>
      </c>
      <c r="B385" s="7" t="s">
        <v>11</v>
      </c>
      <c r="C385" s="7" t="s">
        <v>502</v>
      </c>
      <c r="D385" s="8">
        <v>1060856</v>
      </c>
      <c r="E385" s="8">
        <v>1056087</v>
      </c>
      <c r="F385" s="8">
        <v>1061132</v>
      </c>
      <c r="G385" s="8">
        <v>1069397</v>
      </c>
      <c r="H385" s="8">
        <v>1082273</v>
      </c>
    </row>
    <row r="386" spans="1:8" x14ac:dyDescent="0.3">
      <c r="A386" s="7">
        <v>37125</v>
      </c>
      <c r="B386" s="7" t="s">
        <v>467</v>
      </c>
      <c r="C386" s="7" t="s">
        <v>743</v>
      </c>
      <c r="D386" s="8">
        <v>100293</v>
      </c>
      <c r="E386" s="8">
        <v>103049</v>
      </c>
      <c r="F386" s="8">
        <v>105548</v>
      </c>
      <c r="G386" s="8">
        <v>107072</v>
      </c>
      <c r="H386" s="8">
        <v>108417</v>
      </c>
    </row>
    <row r="387" spans="1:8" x14ac:dyDescent="0.3">
      <c r="A387" s="7">
        <v>1103</v>
      </c>
      <c r="B387" s="7" t="s">
        <v>463</v>
      </c>
      <c r="C387" s="7" t="s">
        <v>798</v>
      </c>
      <c r="D387" s="8">
        <v>123329</v>
      </c>
      <c r="E387" s="8">
        <v>123270</v>
      </c>
      <c r="F387" s="8">
        <v>124218</v>
      </c>
      <c r="G387" s="8">
        <v>125455</v>
      </c>
      <c r="H387" s="8">
        <v>126084</v>
      </c>
    </row>
    <row r="388" spans="1:8" x14ac:dyDescent="0.3">
      <c r="A388" s="7">
        <v>34027</v>
      </c>
      <c r="B388" s="7" t="s">
        <v>237</v>
      </c>
      <c r="C388" s="7" t="s">
        <v>881</v>
      </c>
      <c r="D388" s="8">
        <v>508472</v>
      </c>
      <c r="E388" s="8">
        <v>510691</v>
      </c>
      <c r="F388" s="8">
        <v>512685</v>
      </c>
      <c r="G388" s="8">
        <v>517738</v>
      </c>
      <c r="H388" s="8">
        <v>523053</v>
      </c>
    </row>
    <row r="389" spans="1:8" x14ac:dyDescent="0.3">
      <c r="A389" s="7">
        <v>41051</v>
      </c>
      <c r="B389" s="7" t="s">
        <v>21</v>
      </c>
      <c r="C389" s="7" t="s">
        <v>20</v>
      </c>
      <c r="D389" s="8">
        <v>816321</v>
      </c>
      <c r="E389" s="8">
        <v>804934</v>
      </c>
      <c r="F389" s="8">
        <v>795960</v>
      </c>
      <c r="G389" s="8">
        <v>794271</v>
      </c>
      <c r="H389" s="8">
        <v>795897</v>
      </c>
    </row>
    <row r="390" spans="1:8" x14ac:dyDescent="0.3">
      <c r="A390" s="7">
        <v>13215</v>
      </c>
      <c r="B390" s="7" t="s">
        <v>469</v>
      </c>
      <c r="C390" s="7" t="s">
        <v>867</v>
      </c>
      <c r="D390" s="8">
        <v>207015</v>
      </c>
      <c r="E390" s="8">
        <v>205094</v>
      </c>
      <c r="F390" s="8">
        <v>202658</v>
      </c>
      <c r="G390" s="8">
        <v>201959</v>
      </c>
      <c r="H390" s="8">
        <v>201830</v>
      </c>
    </row>
    <row r="391" spans="1:8" x14ac:dyDescent="0.3">
      <c r="A391" s="7">
        <v>26121</v>
      </c>
      <c r="B391" s="7" t="s">
        <v>480</v>
      </c>
      <c r="C391" s="7" t="s">
        <v>585</v>
      </c>
      <c r="D391" s="8">
        <v>174794</v>
      </c>
      <c r="E391" s="8">
        <v>175581</v>
      </c>
      <c r="F391" s="8">
        <v>175526</v>
      </c>
      <c r="G391" s="8">
        <v>176476</v>
      </c>
      <c r="H391" s="8">
        <v>177428</v>
      </c>
    </row>
    <row r="392" spans="1:8" x14ac:dyDescent="0.3">
      <c r="A392" s="7">
        <v>6055</v>
      </c>
      <c r="B392" s="7" t="s">
        <v>15</v>
      </c>
      <c r="C392" s="7" t="s">
        <v>872</v>
      </c>
      <c r="D392" s="8">
        <v>137465</v>
      </c>
      <c r="E392" s="8">
        <v>136219</v>
      </c>
      <c r="F392" s="8">
        <v>134492</v>
      </c>
      <c r="G392" s="8">
        <v>133444</v>
      </c>
      <c r="H392" s="8">
        <v>132727</v>
      </c>
    </row>
    <row r="393" spans="1:8" x14ac:dyDescent="0.3">
      <c r="A393" s="7">
        <v>36059</v>
      </c>
      <c r="B393" s="7" t="s">
        <v>32</v>
      </c>
      <c r="C393" s="7" t="s">
        <v>553</v>
      </c>
      <c r="D393" s="8">
        <v>1390584</v>
      </c>
      <c r="E393" s="8">
        <v>1392058</v>
      </c>
      <c r="F393" s="8">
        <v>1386825</v>
      </c>
      <c r="G393" s="8">
        <v>1386052</v>
      </c>
      <c r="H393" s="8">
        <v>1392438</v>
      </c>
    </row>
    <row r="394" spans="1:8" x14ac:dyDescent="0.3">
      <c r="A394" s="7">
        <v>12089</v>
      </c>
      <c r="B394" s="7" t="s">
        <v>50</v>
      </c>
      <c r="C394" s="7" t="s">
        <v>553</v>
      </c>
      <c r="D394" s="8">
        <v>91036</v>
      </c>
      <c r="E394" s="8">
        <v>94413</v>
      </c>
      <c r="F394" s="8">
        <v>97891</v>
      </c>
      <c r="G394" s="8">
        <v>101579</v>
      </c>
      <c r="H394" s="8">
        <v>104376</v>
      </c>
    </row>
    <row r="395" spans="1:8" x14ac:dyDescent="0.3">
      <c r="A395" s="7">
        <v>9140</v>
      </c>
      <c r="B395" s="7" t="s">
        <v>907</v>
      </c>
      <c r="C395" s="7" t="s">
        <v>967</v>
      </c>
      <c r="D395" s="8">
        <v>449055</v>
      </c>
      <c r="E395" s="8">
        <v>452095</v>
      </c>
      <c r="F395" s="8">
        <v>453868</v>
      </c>
      <c r="G395" s="8">
        <v>457609</v>
      </c>
      <c r="H395" s="8">
        <v>462220</v>
      </c>
    </row>
    <row r="396" spans="1:8" x14ac:dyDescent="0.3">
      <c r="A396" s="7">
        <v>4017</v>
      </c>
      <c r="B396" s="7" t="s">
        <v>43</v>
      </c>
      <c r="C396" s="7" t="s">
        <v>259</v>
      </c>
      <c r="D396" s="8">
        <v>106773</v>
      </c>
      <c r="E396" s="8">
        <v>107736</v>
      </c>
      <c r="F396" s="8">
        <v>108771</v>
      </c>
      <c r="G396" s="8">
        <v>109281</v>
      </c>
      <c r="H396" s="8">
        <v>109516</v>
      </c>
    </row>
    <row r="397" spans="1:8" x14ac:dyDescent="0.3">
      <c r="A397" s="7">
        <v>6057</v>
      </c>
      <c r="B397" s="7" t="s">
        <v>15</v>
      </c>
      <c r="C397" s="7" t="s">
        <v>492</v>
      </c>
      <c r="D397" s="8">
        <v>102267</v>
      </c>
      <c r="E397" s="8">
        <v>103499</v>
      </c>
      <c r="F397" s="8">
        <v>102356</v>
      </c>
      <c r="G397" s="8">
        <v>102086</v>
      </c>
      <c r="H397" s="8">
        <v>102195</v>
      </c>
    </row>
    <row r="398" spans="1:8" x14ac:dyDescent="0.3">
      <c r="A398" s="7">
        <v>10003</v>
      </c>
      <c r="B398" s="7" t="s">
        <v>47</v>
      </c>
      <c r="C398" s="7" t="s">
        <v>46</v>
      </c>
      <c r="D398" s="8">
        <v>570957</v>
      </c>
      <c r="E398" s="8">
        <v>572116</v>
      </c>
      <c r="F398" s="8">
        <v>576316</v>
      </c>
      <c r="G398" s="8">
        <v>582325</v>
      </c>
      <c r="H398" s="8">
        <v>588093</v>
      </c>
    </row>
    <row r="399" spans="1:8" x14ac:dyDescent="0.3">
      <c r="A399" s="7">
        <v>37129</v>
      </c>
      <c r="B399" s="7" t="s">
        <v>467</v>
      </c>
      <c r="C399" s="7" t="s">
        <v>565</v>
      </c>
      <c r="D399" s="8">
        <v>226442</v>
      </c>
      <c r="E399" s="8">
        <v>230167</v>
      </c>
      <c r="F399" s="8">
        <v>236147</v>
      </c>
      <c r="G399" s="8">
        <v>240054</v>
      </c>
      <c r="H399" s="8">
        <v>243333</v>
      </c>
    </row>
    <row r="400" spans="1:8" x14ac:dyDescent="0.3">
      <c r="A400" s="7">
        <v>36061</v>
      </c>
      <c r="B400" s="7" t="s">
        <v>32</v>
      </c>
      <c r="C400" s="7" t="s">
        <v>679</v>
      </c>
      <c r="D400" s="8">
        <v>1679602</v>
      </c>
      <c r="E400" s="8">
        <v>1576787</v>
      </c>
      <c r="F400" s="8">
        <v>1597103</v>
      </c>
      <c r="G400" s="8">
        <v>1633229</v>
      </c>
      <c r="H400" s="8">
        <v>1660664</v>
      </c>
    </row>
    <row r="401" spans="1:8" x14ac:dyDescent="0.3">
      <c r="A401" s="7">
        <v>51700</v>
      </c>
      <c r="B401" s="7" t="s">
        <v>239</v>
      </c>
      <c r="C401" s="7" t="s">
        <v>669</v>
      </c>
      <c r="D401" s="8">
        <v>186052</v>
      </c>
      <c r="E401" s="8">
        <v>184717</v>
      </c>
      <c r="F401" s="8">
        <v>184004</v>
      </c>
      <c r="G401" s="8">
        <v>183249</v>
      </c>
      <c r="H401" s="8">
        <v>183056</v>
      </c>
    </row>
    <row r="402" spans="1:8" x14ac:dyDescent="0.3">
      <c r="A402" s="7">
        <v>13217</v>
      </c>
      <c r="B402" s="7" t="s">
        <v>469</v>
      </c>
      <c r="C402" s="7" t="s">
        <v>713</v>
      </c>
      <c r="D402" s="8">
        <v>112897</v>
      </c>
      <c r="E402" s="8">
        <v>115356</v>
      </c>
      <c r="F402" s="8">
        <v>117970</v>
      </c>
      <c r="G402" s="8">
        <v>120529</v>
      </c>
      <c r="H402" s="8">
        <v>124010</v>
      </c>
    </row>
    <row r="403" spans="1:8" x14ac:dyDescent="0.3">
      <c r="A403" s="7">
        <v>36063</v>
      </c>
      <c r="B403" s="7" t="s">
        <v>32</v>
      </c>
      <c r="C403" s="7" t="s">
        <v>598</v>
      </c>
      <c r="D403" s="8">
        <v>212133</v>
      </c>
      <c r="E403" s="8">
        <v>211754</v>
      </c>
      <c r="F403" s="8">
        <v>210466</v>
      </c>
      <c r="G403" s="8">
        <v>209684</v>
      </c>
      <c r="H403" s="8">
        <v>209570</v>
      </c>
    </row>
    <row r="404" spans="1:8" x14ac:dyDescent="0.3">
      <c r="A404" s="7">
        <v>25021</v>
      </c>
      <c r="B404" s="7" t="s">
        <v>453</v>
      </c>
      <c r="C404" s="7" t="s">
        <v>787</v>
      </c>
      <c r="D404" s="8">
        <v>723750</v>
      </c>
      <c r="E404" s="8">
        <v>724906</v>
      </c>
      <c r="F404" s="8">
        <v>728619</v>
      </c>
      <c r="G404" s="8">
        <v>732379</v>
      </c>
      <c r="H404" s="8">
        <v>740754</v>
      </c>
    </row>
    <row r="405" spans="1:8" x14ac:dyDescent="0.3">
      <c r="A405" s="7">
        <v>51710</v>
      </c>
      <c r="B405" s="7" t="s">
        <v>239</v>
      </c>
      <c r="C405" s="7" t="s">
        <v>652</v>
      </c>
      <c r="D405" s="8">
        <v>237813</v>
      </c>
      <c r="E405" s="8">
        <v>234920</v>
      </c>
      <c r="F405" s="8">
        <v>232766</v>
      </c>
      <c r="G405" s="8">
        <v>231378</v>
      </c>
      <c r="H405" s="8">
        <v>231105</v>
      </c>
    </row>
    <row r="406" spans="1:8" x14ac:dyDescent="0.3">
      <c r="A406" s="7">
        <v>42095</v>
      </c>
      <c r="B406" s="7" t="s">
        <v>19</v>
      </c>
      <c r="C406" s="7" t="s">
        <v>751</v>
      </c>
      <c r="D406" s="8">
        <v>312810</v>
      </c>
      <c r="E406" s="8">
        <v>318215</v>
      </c>
      <c r="F406" s="8">
        <v>318044</v>
      </c>
      <c r="G406" s="8">
        <v>320844</v>
      </c>
      <c r="H406" s="8">
        <v>322989</v>
      </c>
    </row>
    <row r="407" spans="1:8" x14ac:dyDescent="0.3">
      <c r="A407" s="7">
        <v>9160</v>
      </c>
      <c r="B407" s="7" t="s">
        <v>907</v>
      </c>
      <c r="C407" s="7" t="s">
        <v>968</v>
      </c>
      <c r="D407" s="8">
        <v>112199</v>
      </c>
      <c r="E407" s="8">
        <v>112952</v>
      </c>
      <c r="F407" s="8">
        <v>113289</v>
      </c>
      <c r="G407" s="8">
        <v>113538</v>
      </c>
      <c r="H407" s="8">
        <v>114101</v>
      </c>
    </row>
    <row r="408" spans="1:8" x14ac:dyDescent="0.3">
      <c r="A408" s="7">
        <v>48355</v>
      </c>
      <c r="B408" s="7" t="s">
        <v>604</v>
      </c>
      <c r="C408" s="7" t="s">
        <v>647</v>
      </c>
      <c r="D408" s="8">
        <v>353600</v>
      </c>
      <c r="E408" s="8">
        <v>353552</v>
      </c>
      <c r="F408" s="8">
        <v>351852</v>
      </c>
      <c r="G408" s="8">
        <v>352645</v>
      </c>
      <c r="H408" s="8">
        <v>353125</v>
      </c>
    </row>
    <row r="409" spans="1:8" x14ac:dyDescent="0.3">
      <c r="A409" s="7">
        <v>26125</v>
      </c>
      <c r="B409" s="7" t="s">
        <v>480</v>
      </c>
      <c r="C409" s="7" t="s">
        <v>828</v>
      </c>
      <c r="D409" s="8">
        <v>1272526</v>
      </c>
      <c r="E409" s="8">
        <v>1272776</v>
      </c>
      <c r="F409" s="8">
        <v>1275098</v>
      </c>
      <c r="G409" s="8">
        <v>1281836</v>
      </c>
      <c r="H409" s="8">
        <v>1296888</v>
      </c>
    </row>
    <row r="410" spans="1:8" x14ac:dyDescent="0.3">
      <c r="A410" s="7">
        <v>34029</v>
      </c>
      <c r="B410" s="7" t="s">
        <v>237</v>
      </c>
      <c r="C410" s="7" t="s">
        <v>646</v>
      </c>
      <c r="D410" s="8">
        <v>638554</v>
      </c>
      <c r="E410" s="8">
        <v>649990</v>
      </c>
      <c r="F410" s="8">
        <v>656386</v>
      </c>
      <c r="G410" s="8">
        <v>660445</v>
      </c>
      <c r="H410" s="8">
        <v>666434</v>
      </c>
    </row>
    <row r="411" spans="1:8" x14ac:dyDescent="0.3">
      <c r="A411" s="7">
        <v>12091</v>
      </c>
      <c r="B411" s="7" t="s">
        <v>50</v>
      </c>
      <c r="C411" s="7" t="s">
        <v>562</v>
      </c>
      <c r="D411" s="8">
        <v>212097</v>
      </c>
      <c r="E411" s="8">
        <v>213678</v>
      </c>
      <c r="F411" s="8">
        <v>217115</v>
      </c>
      <c r="G411" s="8">
        <v>219624</v>
      </c>
      <c r="H411" s="8">
        <v>220483</v>
      </c>
    </row>
    <row r="412" spans="1:8" x14ac:dyDescent="0.3">
      <c r="A412" s="7">
        <v>40109</v>
      </c>
      <c r="B412" s="7" t="s">
        <v>490</v>
      </c>
      <c r="C412" s="7" t="s">
        <v>522</v>
      </c>
      <c r="D412" s="8">
        <v>798283</v>
      </c>
      <c r="E412" s="8">
        <v>799961</v>
      </c>
      <c r="F412" s="8">
        <v>805165</v>
      </c>
      <c r="G412" s="8">
        <v>811096</v>
      </c>
      <c r="H412" s="8">
        <v>816490</v>
      </c>
    </row>
    <row r="413" spans="1:8" x14ac:dyDescent="0.3">
      <c r="A413" s="7">
        <v>27109</v>
      </c>
      <c r="B413" s="7" t="s">
        <v>475</v>
      </c>
      <c r="C413" s="7" t="s">
        <v>634</v>
      </c>
      <c r="D413" s="8">
        <v>163041</v>
      </c>
      <c r="E413" s="8">
        <v>163755</v>
      </c>
      <c r="F413" s="8">
        <v>164151</v>
      </c>
      <c r="G413" s="8">
        <v>165119</v>
      </c>
      <c r="H413" s="8">
        <v>166424</v>
      </c>
    </row>
    <row r="414" spans="1:8" x14ac:dyDescent="0.3">
      <c r="A414" s="7">
        <v>36065</v>
      </c>
      <c r="B414" s="7" t="s">
        <v>32</v>
      </c>
      <c r="C414" s="7" t="s">
        <v>783</v>
      </c>
      <c r="D414" s="8">
        <v>231103</v>
      </c>
      <c r="E414" s="8">
        <v>229660</v>
      </c>
      <c r="F414" s="8">
        <v>228502</v>
      </c>
      <c r="G414" s="8">
        <v>228010</v>
      </c>
      <c r="H414" s="8">
        <v>228347</v>
      </c>
    </row>
    <row r="415" spans="1:8" x14ac:dyDescent="0.3">
      <c r="A415" s="7">
        <v>36067</v>
      </c>
      <c r="B415" s="7" t="s">
        <v>32</v>
      </c>
      <c r="C415" s="7" t="s">
        <v>693</v>
      </c>
      <c r="D415" s="8">
        <v>474218</v>
      </c>
      <c r="E415" s="8">
        <v>471959</v>
      </c>
      <c r="F415" s="8">
        <v>470432</v>
      </c>
      <c r="G415" s="8">
        <v>469226</v>
      </c>
      <c r="H415" s="8">
        <v>469812</v>
      </c>
    </row>
    <row r="416" spans="1:8" x14ac:dyDescent="0.3">
      <c r="A416" s="7">
        <v>37133</v>
      </c>
      <c r="B416" s="7" t="s">
        <v>467</v>
      </c>
      <c r="C416" s="7" t="s">
        <v>573</v>
      </c>
      <c r="D416" s="8">
        <v>205111</v>
      </c>
      <c r="E416" s="8">
        <v>203563</v>
      </c>
      <c r="F416" s="8">
        <v>206718</v>
      </c>
      <c r="G416" s="8">
        <v>211184</v>
      </c>
      <c r="H416" s="8">
        <v>212954</v>
      </c>
    </row>
    <row r="417" spans="1:8" x14ac:dyDescent="0.3">
      <c r="A417" s="7">
        <v>36069</v>
      </c>
      <c r="B417" s="7" t="s">
        <v>32</v>
      </c>
      <c r="C417" s="7" t="s">
        <v>858</v>
      </c>
      <c r="D417" s="8">
        <v>112350</v>
      </c>
      <c r="E417" s="8">
        <v>112648</v>
      </c>
      <c r="F417" s="8">
        <v>112509</v>
      </c>
      <c r="G417" s="8">
        <v>112605</v>
      </c>
      <c r="H417" s="8">
        <v>113012</v>
      </c>
    </row>
    <row r="418" spans="1:8" x14ac:dyDescent="0.3">
      <c r="A418" s="7">
        <v>6059</v>
      </c>
      <c r="B418" s="7" t="s">
        <v>15</v>
      </c>
      <c r="C418" s="7" t="s">
        <v>736</v>
      </c>
      <c r="D418" s="8">
        <v>3186261</v>
      </c>
      <c r="E418" s="8">
        <v>3159351</v>
      </c>
      <c r="F418" s="8">
        <v>3158489</v>
      </c>
      <c r="G418" s="8">
        <v>3154563</v>
      </c>
      <c r="H418" s="8">
        <v>3170435</v>
      </c>
    </row>
    <row r="419" spans="1:8" x14ac:dyDescent="0.3">
      <c r="A419" s="7">
        <v>36071</v>
      </c>
      <c r="B419" s="7" t="s">
        <v>32</v>
      </c>
      <c r="C419" s="7" t="s">
        <v>736</v>
      </c>
      <c r="D419" s="8">
        <v>400997</v>
      </c>
      <c r="E419" s="8">
        <v>405214</v>
      </c>
      <c r="F419" s="8">
        <v>406677</v>
      </c>
      <c r="G419" s="8">
        <v>408427</v>
      </c>
      <c r="H419" s="8">
        <v>411767</v>
      </c>
    </row>
    <row r="420" spans="1:8" x14ac:dyDescent="0.3">
      <c r="A420" s="7">
        <v>37135</v>
      </c>
      <c r="B420" s="7" t="s">
        <v>467</v>
      </c>
      <c r="C420" s="7" t="s">
        <v>736</v>
      </c>
      <c r="D420" s="8">
        <v>143732</v>
      </c>
      <c r="E420" s="8">
        <v>148798</v>
      </c>
      <c r="F420" s="8">
        <v>150744</v>
      </c>
      <c r="G420" s="8">
        <v>152239</v>
      </c>
      <c r="H420" s="8">
        <v>152877</v>
      </c>
    </row>
    <row r="421" spans="1:8" x14ac:dyDescent="0.3">
      <c r="A421" s="7">
        <v>12095</v>
      </c>
      <c r="B421" s="7" t="s">
        <v>50</v>
      </c>
      <c r="C421" s="7" t="s">
        <v>736</v>
      </c>
      <c r="D421" s="8">
        <v>1431720</v>
      </c>
      <c r="E421" s="8">
        <v>1427909</v>
      </c>
      <c r="F421" s="8">
        <v>1465146</v>
      </c>
      <c r="G421" s="8">
        <v>1501265</v>
      </c>
      <c r="H421" s="8">
        <v>1533646</v>
      </c>
    </row>
    <row r="422" spans="1:8" x14ac:dyDescent="0.3">
      <c r="A422" s="7">
        <v>22071</v>
      </c>
      <c r="B422" s="7" t="s">
        <v>24</v>
      </c>
      <c r="C422" s="7" t="s">
        <v>23</v>
      </c>
      <c r="D422" s="8">
        <v>383374</v>
      </c>
      <c r="E422" s="8">
        <v>377547</v>
      </c>
      <c r="F422" s="8">
        <v>370473</v>
      </c>
      <c r="G422" s="8">
        <v>365167</v>
      </c>
      <c r="H422" s="8">
        <v>362701</v>
      </c>
    </row>
    <row r="423" spans="1:8" x14ac:dyDescent="0.3">
      <c r="A423" s="7">
        <v>12097</v>
      </c>
      <c r="B423" s="7" t="s">
        <v>50</v>
      </c>
      <c r="C423" s="7" t="s">
        <v>765</v>
      </c>
      <c r="D423" s="8">
        <v>391163</v>
      </c>
      <c r="E423" s="8">
        <v>404055</v>
      </c>
      <c r="F423" s="8">
        <v>426556</v>
      </c>
      <c r="G423" s="8">
        <v>447243</v>
      </c>
      <c r="H423" s="8">
        <v>468058</v>
      </c>
    </row>
    <row r="424" spans="1:8" x14ac:dyDescent="0.3">
      <c r="A424" s="7">
        <v>36075</v>
      </c>
      <c r="B424" s="7" t="s">
        <v>32</v>
      </c>
      <c r="C424" s="7" t="s">
        <v>613</v>
      </c>
      <c r="D424" s="8">
        <v>117450</v>
      </c>
      <c r="E424" s="8">
        <v>118010</v>
      </c>
      <c r="F424" s="8">
        <v>118110</v>
      </c>
      <c r="G424" s="8">
        <v>117889</v>
      </c>
      <c r="H424" s="8">
        <v>118305</v>
      </c>
    </row>
    <row r="425" spans="1:8" x14ac:dyDescent="0.3">
      <c r="A425" s="7">
        <v>26139</v>
      </c>
      <c r="B425" s="7" t="s">
        <v>480</v>
      </c>
      <c r="C425" s="7" t="s">
        <v>898</v>
      </c>
      <c r="D425" s="8">
        <v>296899</v>
      </c>
      <c r="E425" s="8">
        <v>298394</v>
      </c>
      <c r="F425" s="8">
        <v>300910</v>
      </c>
      <c r="G425" s="8">
        <v>303575</v>
      </c>
      <c r="H425" s="8">
        <v>306235</v>
      </c>
    </row>
    <row r="426" spans="1:8" x14ac:dyDescent="0.3">
      <c r="A426" s="7">
        <v>22073</v>
      </c>
      <c r="B426" s="7" t="s">
        <v>24</v>
      </c>
      <c r="C426" s="7" t="s">
        <v>780</v>
      </c>
      <c r="D426" s="8">
        <v>160114</v>
      </c>
      <c r="E426" s="8">
        <v>158889</v>
      </c>
      <c r="F426" s="8">
        <v>157812</v>
      </c>
      <c r="G426" s="8">
        <v>157712</v>
      </c>
      <c r="H426" s="8">
        <v>157874</v>
      </c>
    </row>
    <row r="427" spans="1:8" x14ac:dyDescent="0.3">
      <c r="A427" s="7">
        <v>55087</v>
      </c>
      <c r="B427" s="7" t="s">
        <v>38</v>
      </c>
      <c r="C427" s="7" t="s">
        <v>771</v>
      </c>
      <c r="D427" s="8">
        <v>190973</v>
      </c>
      <c r="E427" s="8">
        <v>191380</v>
      </c>
      <c r="F427" s="8">
        <v>192561</v>
      </c>
      <c r="G427" s="8">
        <v>193828</v>
      </c>
      <c r="H427" s="8">
        <v>195390</v>
      </c>
    </row>
    <row r="428" spans="1:8" x14ac:dyDescent="0.3">
      <c r="A428" s="7">
        <v>12099</v>
      </c>
      <c r="B428" s="7" t="s">
        <v>50</v>
      </c>
      <c r="C428" s="7" t="s">
        <v>726</v>
      </c>
      <c r="D428" s="8">
        <v>1494276</v>
      </c>
      <c r="E428" s="8">
        <v>1503677</v>
      </c>
      <c r="F428" s="8">
        <v>1531542</v>
      </c>
      <c r="G428" s="8">
        <v>1557481</v>
      </c>
      <c r="H428" s="8">
        <v>1582055</v>
      </c>
    </row>
    <row r="429" spans="1:8" x14ac:dyDescent="0.3">
      <c r="A429" s="7">
        <v>48367</v>
      </c>
      <c r="B429" s="7" t="s">
        <v>604</v>
      </c>
      <c r="C429" s="7" t="s">
        <v>737</v>
      </c>
      <c r="D429" s="8">
        <v>149560</v>
      </c>
      <c r="E429" s="8">
        <v>157107</v>
      </c>
      <c r="F429" s="8">
        <v>165899</v>
      </c>
      <c r="G429" s="8">
        <v>173565</v>
      </c>
      <c r="H429" s="8">
        <v>179707</v>
      </c>
    </row>
    <row r="430" spans="1:8" x14ac:dyDescent="0.3">
      <c r="A430" s="7">
        <v>12101</v>
      </c>
      <c r="B430" s="7" t="s">
        <v>50</v>
      </c>
      <c r="C430" s="7" t="s">
        <v>586</v>
      </c>
      <c r="D430" s="8">
        <v>566182</v>
      </c>
      <c r="E430" s="8">
        <v>585290</v>
      </c>
      <c r="F430" s="8">
        <v>610584</v>
      </c>
      <c r="G430" s="8">
        <v>636049</v>
      </c>
      <c r="H430" s="8">
        <v>659114</v>
      </c>
    </row>
    <row r="431" spans="1:8" x14ac:dyDescent="0.3">
      <c r="A431" s="7">
        <v>34031</v>
      </c>
      <c r="B431" s="7" t="s">
        <v>237</v>
      </c>
      <c r="C431" s="7" t="s">
        <v>718</v>
      </c>
      <c r="D431" s="8">
        <v>523464</v>
      </c>
      <c r="E431" s="8">
        <v>518494</v>
      </c>
      <c r="F431" s="8">
        <v>516287</v>
      </c>
      <c r="G431" s="8">
        <v>520219</v>
      </c>
      <c r="H431" s="8">
        <v>526597</v>
      </c>
    </row>
    <row r="432" spans="1:8" x14ac:dyDescent="0.3">
      <c r="A432" s="7">
        <v>13223</v>
      </c>
      <c r="B432" s="7" t="s">
        <v>469</v>
      </c>
      <c r="C432" s="7" t="s">
        <v>772</v>
      </c>
      <c r="D432" s="8">
        <v>169576</v>
      </c>
      <c r="E432" s="8">
        <v>173998</v>
      </c>
      <c r="F432" s="8">
        <v>178885</v>
      </c>
      <c r="G432" s="8">
        <v>183535</v>
      </c>
      <c r="H432" s="8">
        <v>188549</v>
      </c>
    </row>
    <row r="433" spans="1:8" x14ac:dyDescent="0.3">
      <c r="A433" s="7">
        <v>46103</v>
      </c>
      <c r="B433" s="7" t="s">
        <v>712</v>
      </c>
      <c r="C433" s="7" t="s">
        <v>863</v>
      </c>
      <c r="D433" s="8">
        <v>109573</v>
      </c>
      <c r="E433" s="8">
        <v>111903</v>
      </c>
      <c r="F433" s="8">
        <v>114269</v>
      </c>
      <c r="G433" s="8">
        <v>115834</v>
      </c>
      <c r="H433" s="8">
        <v>115979</v>
      </c>
    </row>
    <row r="434" spans="1:8" x14ac:dyDescent="0.3">
      <c r="A434" s="7">
        <v>23019</v>
      </c>
      <c r="B434" s="7" t="s">
        <v>455</v>
      </c>
      <c r="C434" s="7" t="s">
        <v>454</v>
      </c>
      <c r="D434" s="8">
        <v>152179</v>
      </c>
      <c r="E434" s="8">
        <v>153383</v>
      </c>
      <c r="F434" s="8">
        <v>154817</v>
      </c>
      <c r="G434" s="8">
        <v>156329</v>
      </c>
      <c r="H434" s="8">
        <v>156840</v>
      </c>
    </row>
    <row r="435" spans="1:8" x14ac:dyDescent="0.3">
      <c r="A435" s="7">
        <v>17143</v>
      </c>
      <c r="B435" s="7" t="s">
        <v>262</v>
      </c>
      <c r="C435" s="7" t="s">
        <v>579</v>
      </c>
      <c r="D435" s="8">
        <v>181512</v>
      </c>
      <c r="E435" s="8">
        <v>179847</v>
      </c>
      <c r="F435" s="8">
        <v>178503</v>
      </c>
      <c r="G435" s="8">
        <v>178735</v>
      </c>
      <c r="H435" s="8">
        <v>179630</v>
      </c>
    </row>
    <row r="436" spans="1:8" x14ac:dyDescent="0.3">
      <c r="A436" s="7">
        <v>42101</v>
      </c>
      <c r="B436" s="7" t="s">
        <v>19</v>
      </c>
      <c r="C436" s="7" t="s">
        <v>18</v>
      </c>
      <c r="D436" s="8">
        <v>1600788</v>
      </c>
      <c r="E436" s="8">
        <v>1589918</v>
      </c>
      <c r="F436" s="8">
        <v>1570554</v>
      </c>
      <c r="G436" s="8">
        <v>1563349</v>
      </c>
      <c r="H436" s="8">
        <v>1573916</v>
      </c>
    </row>
    <row r="437" spans="1:8" x14ac:dyDescent="0.3">
      <c r="A437" s="7">
        <v>45077</v>
      </c>
      <c r="B437" s="7" t="s">
        <v>458</v>
      </c>
      <c r="C437" s="7" t="s">
        <v>569</v>
      </c>
      <c r="D437" s="8">
        <v>131689</v>
      </c>
      <c r="E437" s="8">
        <v>132139</v>
      </c>
      <c r="F437" s="8">
        <v>134405</v>
      </c>
      <c r="G437" s="8">
        <v>136704</v>
      </c>
      <c r="H437" s="8">
        <v>138207</v>
      </c>
    </row>
    <row r="438" spans="1:8" x14ac:dyDescent="0.3">
      <c r="A438" s="10">
        <v>53053</v>
      </c>
      <c r="B438" s="10" t="s">
        <v>13</v>
      </c>
      <c r="C438" s="10" t="s">
        <v>25</v>
      </c>
      <c r="D438" s="11">
        <v>923655</v>
      </c>
      <c r="E438" s="11">
        <v>927738</v>
      </c>
      <c r="F438" s="11">
        <v>927313</v>
      </c>
      <c r="G438" s="11">
        <v>931718</v>
      </c>
      <c r="H438" s="11">
        <v>941170</v>
      </c>
    </row>
    <row r="439" spans="1:8" x14ac:dyDescent="0.3">
      <c r="A439" s="7">
        <v>4019</v>
      </c>
      <c r="B439" s="7" t="s">
        <v>43</v>
      </c>
      <c r="C439" s="7" t="s">
        <v>42</v>
      </c>
      <c r="D439" s="8">
        <v>1045227</v>
      </c>
      <c r="E439" s="8">
        <v>1049083</v>
      </c>
      <c r="F439" s="8">
        <v>1059412</v>
      </c>
      <c r="G439" s="8">
        <v>1068579</v>
      </c>
      <c r="H439" s="8">
        <v>1080149</v>
      </c>
    </row>
    <row r="440" spans="1:8" x14ac:dyDescent="0.3">
      <c r="A440" s="7">
        <v>4021</v>
      </c>
      <c r="B440" s="7" t="s">
        <v>43</v>
      </c>
      <c r="C440" s="7" t="s">
        <v>601</v>
      </c>
      <c r="D440" s="8">
        <v>430213</v>
      </c>
      <c r="E440" s="8">
        <v>449086</v>
      </c>
      <c r="F440" s="8">
        <v>465476</v>
      </c>
      <c r="G440" s="8">
        <v>486395</v>
      </c>
      <c r="H440" s="8">
        <v>513862</v>
      </c>
    </row>
    <row r="441" spans="1:8" x14ac:dyDescent="0.3">
      <c r="A441" s="7">
        <v>12103</v>
      </c>
      <c r="B441" s="7" t="s">
        <v>50</v>
      </c>
      <c r="C441" s="7" t="s">
        <v>529</v>
      </c>
      <c r="D441" s="8">
        <v>959839</v>
      </c>
      <c r="E441" s="8">
        <v>959703</v>
      </c>
      <c r="F441" s="8">
        <v>964693</v>
      </c>
      <c r="G441" s="8">
        <v>967301</v>
      </c>
      <c r="H441" s="8">
        <v>965870</v>
      </c>
    </row>
    <row r="442" spans="1:8" x14ac:dyDescent="0.3">
      <c r="A442" s="7">
        <v>37147</v>
      </c>
      <c r="B442" s="7" t="s">
        <v>467</v>
      </c>
      <c r="C442" s="7" t="s">
        <v>852</v>
      </c>
      <c r="D442" s="8">
        <v>173643</v>
      </c>
      <c r="E442" s="8">
        <v>175491</v>
      </c>
      <c r="F442" s="8">
        <v>177090</v>
      </c>
      <c r="G442" s="8">
        <v>178956</v>
      </c>
      <c r="H442" s="8">
        <v>180783</v>
      </c>
    </row>
    <row r="443" spans="1:8" x14ac:dyDescent="0.3">
      <c r="A443" s="7">
        <v>6061</v>
      </c>
      <c r="B443" s="7" t="s">
        <v>15</v>
      </c>
      <c r="C443" s="7" t="s">
        <v>744</v>
      </c>
      <c r="D443" s="8">
        <v>405951</v>
      </c>
      <c r="E443" s="8">
        <v>412968</v>
      </c>
      <c r="F443" s="8">
        <v>418439</v>
      </c>
      <c r="G443" s="8">
        <v>424599</v>
      </c>
      <c r="H443" s="8">
        <v>433822</v>
      </c>
    </row>
    <row r="444" spans="1:8" x14ac:dyDescent="0.3">
      <c r="A444" s="7">
        <v>29165</v>
      </c>
      <c r="B444" s="7" t="s">
        <v>230</v>
      </c>
      <c r="C444" s="7" t="s">
        <v>969</v>
      </c>
      <c r="D444" s="8">
        <v>107190</v>
      </c>
      <c r="E444" s="8">
        <v>108752</v>
      </c>
      <c r="F444" s="8">
        <v>110593</v>
      </c>
      <c r="G444" s="8">
        <v>112112</v>
      </c>
      <c r="H444" s="8">
        <v>113207</v>
      </c>
    </row>
    <row r="445" spans="1:8" x14ac:dyDescent="0.3">
      <c r="A445" s="7">
        <v>25023</v>
      </c>
      <c r="B445" s="7" t="s">
        <v>453</v>
      </c>
      <c r="C445" s="7" t="s">
        <v>689</v>
      </c>
      <c r="D445" s="8">
        <v>528454</v>
      </c>
      <c r="E445" s="8">
        <v>532726</v>
      </c>
      <c r="F445" s="8">
        <v>534297</v>
      </c>
      <c r="G445" s="8">
        <v>537807</v>
      </c>
      <c r="H445" s="8">
        <v>542090</v>
      </c>
    </row>
    <row r="446" spans="1:8" x14ac:dyDescent="0.3">
      <c r="A446" s="7">
        <v>12105</v>
      </c>
      <c r="B446" s="7" t="s">
        <v>50</v>
      </c>
      <c r="C446" s="7" t="s">
        <v>626</v>
      </c>
      <c r="D446" s="8">
        <v>730179</v>
      </c>
      <c r="E446" s="8">
        <v>755712</v>
      </c>
      <c r="F446" s="8">
        <v>790530</v>
      </c>
      <c r="G446" s="8">
        <v>824172</v>
      </c>
      <c r="H446" s="8">
        <v>852878</v>
      </c>
    </row>
    <row r="447" spans="1:8" x14ac:dyDescent="0.3">
      <c r="A447" s="7">
        <v>19153</v>
      </c>
      <c r="B447" s="7" t="s">
        <v>627</v>
      </c>
      <c r="C447" s="7" t="s">
        <v>626</v>
      </c>
      <c r="D447" s="8">
        <v>493039</v>
      </c>
      <c r="E447" s="8">
        <v>497903</v>
      </c>
      <c r="F447" s="8">
        <v>501261</v>
      </c>
      <c r="G447" s="8">
        <v>507487</v>
      </c>
      <c r="H447" s="8">
        <v>516185</v>
      </c>
    </row>
    <row r="448" spans="1:8" x14ac:dyDescent="0.3">
      <c r="A448" s="7">
        <v>39133</v>
      </c>
      <c r="B448" s="7" t="s">
        <v>447</v>
      </c>
      <c r="C448" s="7" t="s">
        <v>795</v>
      </c>
      <c r="D448" s="8">
        <v>161854</v>
      </c>
      <c r="E448" s="8">
        <v>159086</v>
      </c>
      <c r="F448" s="8">
        <v>161924</v>
      </c>
      <c r="G448" s="8">
        <v>163075</v>
      </c>
      <c r="H448" s="8">
        <v>163839</v>
      </c>
    </row>
    <row r="449" spans="1:8" x14ac:dyDescent="0.3">
      <c r="A449" s="7">
        <v>18127</v>
      </c>
      <c r="B449" s="7" t="s">
        <v>35</v>
      </c>
      <c r="C449" s="7" t="s">
        <v>729</v>
      </c>
      <c r="D449" s="8">
        <v>173338</v>
      </c>
      <c r="E449" s="8">
        <v>174591</v>
      </c>
      <c r="F449" s="8">
        <v>175014</v>
      </c>
      <c r="G449" s="8">
        <v>175289</v>
      </c>
      <c r="H449" s="8">
        <v>175860</v>
      </c>
    </row>
    <row r="450" spans="1:8" x14ac:dyDescent="0.3">
      <c r="A450" s="7">
        <v>48375</v>
      </c>
      <c r="B450" s="7" t="s">
        <v>604</v>
      </c>
      <c r="C450" s="7" t="s">
        <v>808</v>
      </c>
      <c r="D450" s="8">
        <v>118309</v>
      </c>
      <c r="E450" s="8">
        <v>116509</v>
      </c>
      <c r="F450" s="8">
        <v>115100</v>
      </c>
      <c r="G450" s="8">
        <v>115309</v>
      </c>
      <c r="H450" s="8">
        <v>114649</v>
      </c>
    </row>
    <row r="451" spans="1:8" x14ac:dyDescent="0.3">
      <c r="A451" s="7">
        <v>24033</v>
      </c>
      <c r="B451" s="7" t="s">
        <v>11</v>
      </c>
      <c r="C451" s="7" t="s">
        <v>733</v>
      </c>
      <c r="D451" s="8">
        <v>965398</v>
      </c>
      <c r="E451" s="8">
        <v>956603</v>
      </c>
      <c r="F451" s="8">
        <v>953609</v>
      </c>
      <c r="G451" s="8">
        <v>956533</v>
      </c>
      <c r="H451" s="8">
        <v>966629</v>
      </c>
    </row>
    <row r="452" spans="1:8" x14ac:dyDescent="0.3">
      <c r="A452" s="7">
        <v>51153</v>
      </c>
      <c r="B452" s="7" t="s">
        <v>239</v>
      </c>
      <c r="C452" s="7" t="s">
        <v>815</v>
      </c>
      <c r="D452" s="8">
        <v>482863</v>
      </c>
      <c r="E452" s="8">
        <v>485433</v>
      </c>
      <c r="F452" s="8">
        <v>487523</v>
      </c>
      <c r="G452" s="8">
        <v>491578</v>
      </c>
      <c r="H452" s="8">
        <v>497003</v>
      </c>
    </row>
    <row r="453" spans="1:8" x14ac:dyDescent="0.3">
      <c r="A453" s="7">
        <v>44007</v>
      </c>
      <c r="B453" s="7" t="s">
        <v>543</v>
      </c>
      <c r="C453" s="7" t="s">
        <v>611</v>
      </c>
      <c r="D453" s="8">
        <v>660044</v>
      </c>
      <c r="E453" s="8">
        <v>658887</v>
      </c>
      <c r="F453" s="8">
        <v>662209</v>
      </c>
      <c r="G453" s="8">
        <v>667219</v>
      </c>
      <c r="H453" s="8">
        <v>675912</v>
      </c>
    </row>
    <row r="454" spans="1:8" x14ac:dyDescent="0.3">
      <c r="A454" s="7">
        <v>8101</v>
      </c>
      <c r="B454" s="7" t="s">
        <v>17</v>
      </c>
      <c r="C454" s="7" t="s">
        <v>255</v>
      </c>
      <c r="D454" s="8">
        <v>168352</v>
      </c>
      <c r="E454" s="8">
        <v>169354</v>
      </c>
      <c r="F454" s="8">
        <v>169485</v>
      </c>
      <c r="G454" s="8">
        <v>169723</v>
      </c>
      <c r="H454" s="8">
        <v>169866</v>
      </c>
    </row>
    <row r="455" spans="1:8" x14ac:dyDescent="0.3">
      <c r="A455" s="7">
        <v>5119</v>
      </c>
      <c r="B455" s="7" t="s">
        <v>588</v>
      </c>
      <c r="C455" s="7" t="s">
        <v>587</v>
      </c>
      <c r="D455" s="8">
        <v>399286</v>
      </c>
      <c r="E455" s="8">
        <v>398005</v>
      </c>
      <c r="F455" s="8">
        <v>399886</v>
      </c>
      <c r="G455" s="8">
        <v>400704</v>
      </c>
      <c r="H455" s="8">
        <v>401209</v>
      </c>
    </row>
    <row r="456" spans="1:8" x14ac:dyDescent="0.3">
      <c r="A456" s="7">
        <v>36081</v>
      </c>
      <c r="B456" s="7" t="s">
        <v>32</v>
      </c>
      <c r="C456" s="7" t="s">
        <v>790</v>
      </c>
      <c r="D456" s="8">
        <v>2389813</v>
      </c>
      <c r="E456" s="8">
        <v>2328286</v>
      </c>
      <c r="F456" s="8">
        <v>2285640</v>
      </c>
      <c r="G456" s="8">
        <v>2294682</v>
      </c>
      <c r="H456" s="8">
        <v>2316841</v>
      </c>
    </row>
    <row r="457" spans="1:8" x14ac:dyDescent="0.3">
      <c r="A457" s="7">
        <v>55101</v>
      </c>
      <c r="B457" s="7" t="s">
        <v>38</v>
      </c>
      <c r="C457" s="7" t="s">
        <v>698</v>
      </c>
      <c r="D457" s="8">
        <v>198065</v>
      </c>
      <c r="E457" s="8">
        <v>196829</v>
      </c>
      <c r="F457" s="8">
        <v>196710</v>
      </c>
      <c r="G457" s="8">
        <v>197407</v>
      </c>
      <c r="H457" s="8">
        <v>198651</v>
      </c>
    </row>
    <row r="458" spans="1:8" x14ac:dyDescent="0.3">
      <c r="A458" s="7">
        <v>27123</v>
      </c>
      <c r="B458" s="7" t="s">
        <v>475</v>
      </c>
      <c r="C458" s="7" t="s">
        <v>474</v>
      </c>
      <c r="D458" s="8">
        <v>551739</v>
      </c>
      <c r="E458" s="8">
        <v>544068</v>
      </c>
      <c r="F458" s="8">
        <v>538430</v>
      </c>
      <c r="G458" s="8">
        <v>538474</v>
      </c>
      <c r="H458" s="8">
        <v>542015</v>
      </c>
    </row>
    <row r="459" spans="1:8" x14ac:dyDescent="0.3">
      <c r="A459" s="7">
        <v>48381</v>
      </c>
      <c r="B459" s="7" t="s">
        <v>604</v>
      </c>
      <c r="C459" s="7" t="s">
        <v>970</v>
      </c>
      <c r="D459" s="8">
        <v>141334</v>
      </c>
      <c r="E459" s="8">
        <v>144058</v>
      </c>
      <c r="F459" s="8">
        <v>146221</v>
      </c>
      <c r="G459" s="8">
        <v>148190</v>
      </c>
      <c r="H459" s="8">
        <v>150547</v>
      </c>
    </row>
    <row r="460" spans="1:8" x14ac:dyDescent="0.3">
      <c r="A460" s="7">
        <v>37151</v>
      </c>
      <c r="B460" s="7" t="s">
        <v>467</v>
      </c>
      <c r="C460" s="7" t="s">
        <v>576</v>
      </c>
      <c r="D460" s="8">
        <v>144407</v>
      </c>
      <c r="E460" s="8">
        <v>145129</v>
      </c>
      <c r="F460" s="8">
        <v>146174</v>
      </c>
      <c r="G460" s="8">
        <v>147641</v>
      </c>
      <c r="H460" s="8">
        <v>148389</v>
      </c>
    </row>
    <row r="461" spans="1:8" x14ac:dyDescent="0.3">
      <c r="A461" s="7">
        <v>28121</v>
      </c>
      <c r="B461" s="7" t="s">
        <v>257</v>
      </c>
      <c r="C461" s="7" t="s">
        <v>826</v>
      </c>
      <c r="D461" s="8">
        <v>157175</v>
      </c>
      <c r="E461" s="8">
        <v>157600</v>
      </c>
      <c r="F461" s="8">
        <v>158733</v>
      </c>
      <c r="G461" s="8">
        <v>160184</v>
      </c>
      <c r="H461" s="8">
        <v>160573</v>
      </c>
    </row>
    <row r="462" spans="1:8" x14ac:dyDescent="0.3">
      <c r="A462" s="7">
        <v>22079</v>
      </c>
      <c r="B462" s="7" t="s">
        <v>24</v>
      </c>
      <c r="C462" s="7" t="s">
        <v>501</v>
      </c>
      <c r="D462" s="8">
        <v>129658</v>
      </c>
      <c r="E462" s="8">
        <v>128646</v>
      </c>
      <c r="F462" s="8">
        <v>126977</v>
      </c>
      <c r="G462" s="8">
        <v>126453</v>
      </c>
      <c r="H462" s="8">
        <v>125899</v>
      </c>
    </row>
    <row r="463" spans="1:8" x14ac:dyDescent="0.3">
      <c r="A463" s="7">
        <v>36083</v>
      </c>
      <c r="B463" s="7" t="s">
        <v>32</v>
      </c>
      <c r="C463" s="7" t="s">
        <v>630</v>
      </c>
      <c r="D463" s="8">
        <v>160888</v>
      </c>
      <c r="E463" s="8">
        <v>160645</v>
      </c>
      <c r="F463" s="8">
        <v>159530</v>
      </c>
      <c r="G463" s="8">
        <v>159846</v>
      </c>
      <c r="H463" s="8">
        <v>160749</v>
      </c>
    </row>
    <row r="464" spans="1:8" x14ac:dyDescent="0.3">
      <c r="A464" s="7">
        <v>45079</v>
      </c>
      <c r="B464" s="7" t="s">
        <v>458</v>
      </c>
      <c r="C464" s="7" t="s">
        <v>616</v>
      </c>
      <c r="D464" s="8">
        <v>415697</v>
      </c>
      <c r="E464" s="8">
        <v>417306</v>
      </c>
      <c r="F464" s="8">
        <v>421693</v>
      </c>
      <c r="G464" s="8">
        <v>425236</v>
      </c>
      <c r="H464" s="8">
        <v>430651</v>
      </c>
    </row>
    <row r="465" spans="1:8" x14ac:dyDescent="0.3">
      <c r="A465" s="7">
        <v>39139</v>
      </c>
      <c r="B465" s="7" t="s">
        <v>447</v>
      </c>
      <c r="C465" s="7" t="s">
        <v>616</v>
      </c>
      <c r="D465" s="8">
        <v>124988</v>
      </c>
      <c r="E465" s="8">
        <v>125382</v>
      </c>
      <c r="F465" s="8">
        <v>125268</v>
      </c>
      <c r="G465" s="8">
        <v>125003</v>
      </c>
      <c r="H465" s="8">
        <v>124853</v>
      </c>
    </row>
    <row r="466" spans="1:8" x14ac:dyDescent="0.3">
      <c r="A466" s="7">
        <v>13245</v>
      </c>
      <c r="B466" s="7" t="s">
        <v>469</v>
      </c>
      <c r="C466" s="7" t="s">
        <v>468</v>
      </c>
      <c r="D466" s="8">
        <v>206557</v>
      </c>
      <c r="E466" s="8">
        <v>205331</v>
      </c>
      <c r="F466" s="8">
        <v>206510</v>
      </c>
      <c r="G466" s="8">
        <v>205646</v>
      </c>
      <c r="H466" s="8">
        <v>206303</v>
      </c>
    </row>
    <row r="467" spans="1:8" x14ac:dyDescent="0.3">
      <c r="A467" s="7">
        <v>36085</v>
      </c>
      <c r="B467" s="7" t="s">
        <v>32</v>
      </c>
      <c r="C467" s="7" t="s">
        <v>468</v>
      </c>
      <c r="D467" s="8">
        <v>495113</v>
      </c>
      <c r="E467" s="8">
        <v>494039</v>
      </c>
      <c r="F467" s="8">
        <v>492640</v>
      </c>
      <c r="G467" s="8">
        <v>494774</v>
      </c>
      <c r="H467" s="8">
        <v>498212</v>
      </c>
    </row>
    <row r="468" spans="1:8" x14ac:dyDescent="0.3">
      <c r="A468" s="7">
        <v>51760</v>
      </c>
      <c r="B468" s="7" t="s">
        <v>239</v>
      </c>
      <c r="C468" s="7" t="s">
        <v>238</v>
      </c>
      <c r="D468" s="8">
        <v>226923</v>
      </c>
      <c r="E468" s="8">
        <v>227164</v>
      </c>
      <c r="F468" s="8">
        <v>228670</v>
      </c>
      <c r="G468" s="8">
        <v>230383</v>
      </c>
      <c r="H468" s="8">
        <v>233655</v>
      </c>
    </row>
    <row r="469" spans="1:8" x14ac:dyDescent="0.3">
      <c r="A469" s="7">
        <v>6065</v>
      </c>
      <c r="B469" s="7" t="s">
        <v>15</v>
      </c>
      <c r="C469" s="7" t="s">
        <v>570</v>
      </c>
      <c r="D469" s="8">
        <v>2424663</v>
      </c>
      <c r="E469" s="8">
        <v>2455225</v>
      </c>
      <c r="F469" s="8">
        <v>2479628</v>
      </c>
      <c r="G469" s="8">
        <v>2503549</v>
      </c>
      <c r="H469" s="8">
        <v>2529933</v>
      </c>
    </row>
    <row r="470" spans="1:8" x14ac:dyDescent="0.3">
      <c r="A470" s="7">
        <v>37155</v>
      </c>
      <c r="B470" s="7" t="s">
        <v>467</v>
      </c>
      <c r="C470" s="7" t="s">
        <v>483</v>
      </c>
      <c r="D470" s="8">
        <v>115967</v>
      </c>
      <c r="E470" s="8">
        <v>115901</v>
      </c>
      <c r="F470" s="8">
        <v>116313</v>
      </c>
      <c r="G470" s="8">
        <v>117705</v>
      </c>
      <c r="H470" s="8">
        <v>118624</v>
      </c>
    </row>
    <row r="471" spans="1:8" x14ac:dyDescent="0.3">
      <c r="A471" s="7">
        <v>55105</v>
      </c>
      <c r="B471" s="7" t="s">
        <v>38</v>
      </c>
      <c r="C471" s="7" t="s">
        <v>667</v>
      </c>
      <c r="D471" s="8">
        <v>163761</v>
      </c>
      <c r="E471" s="8">
        <v>164128</v>
      </c>
      <c r="F471" s="8">
        <v>163959</v>
      </c>
      <c r="G471" s="8">
        <v>164443</v>
      </c>
      <c r="H471" s="8">
        <v>165461</v>
      </c>
    </row>
    <row r="472" spans="1:8" x14ac:dyDescent="0.3">
      <c r="A472" s="7">
        <v>17161</v>
      </c>
      <c r="B472" s="7" t="s">
        <v>262</v>
      </c>
      <c r="C472" s="7" t="s">
        <v>855</v>
      </c>
      <c r="D472" s="8">
        <v>144360</v>
      </c>
      <c r="E472" s="8">
        <v>142943</v>
      </c>
      <c r="F472" s="8">
        <v>141812</v>
      </c>
      <c r="G472" s="8">
        <v>141939</v>
      </c>
      <c r="H472" s="8">
        <v>142731</v>
      </c>
    </row>
    <row r="473" spans="1:8" x14ac:dyDescent="0.3">
      <c r="A473" s="7">
        <v>33015</v>
      </c>
      <c r="B473" s="7" t="s">
        <v>590</v>
      </c>
      <c r="C473" s="7" t="s">
        <v>853</v>
      </c>
      <c r="D473" s="8">
        <v>314664</v>
      </c>
      <c r="E473" s="8">
        <v>318349</v>
      </c>
      <c r="F473" s="8">
        <v>319298</v>
      </c>
      <c r="G473" s="8">
        <v>320665</v>
      </c>
      <c r="H473" s="8">
        <v>322433</v>
      </c>
    </row>
    <row r="474" spans="1:8" x14ac:dyDescent="0.3">
      <c r="A474" s="7">
        <v>36087</v>
      </c>
      <c r="B474" s="7" t="s">
        <v>32</v>
      </c>
      <c r="C474" s="7" t="s">
        <v>864</v>
      </c>
      <c r="D474" s="8">
        <v>337378</v>
      </c>
      <c r="E474" s="8">
        <v>339828</v>
      </c>
      <c r="F474" s="8">
        <v>340756</v>
      </c>
      <c r="G474" s="8">
        <v>343310</v>
      </c>
      <c r="H474" s="8">
        <v>348144</v>
      </c>
    </row>
    <row r="475" spans="1:8" x14ac:dyDescent="0.3">
      <c r="A475" s="7">
        <v>48397</v>
      </c>
      <c r="B475" s="7" t="s">
        <v>604</v>
      </c>
      <c r="C475" s="7" t="s">
        <v>878</v>
      </c>
      <c r="D475" s="8">
        <v>109202</v>
      </c>
      <c r="E475" s="8">
        <v>116666</v>
      </c>
      <c r="F475" s="8">
        <v>123538</v>
      </c>
      <c r="G475" s="8">
        <v>131636</v>
      </c>
      <c r="H475" s="8">
        <v>137044</v>
      </c>
    </row>
    <row r="476" spans="1:8" x14ac:dyDescent="0.3">
      <c r="A476" s="7">
        <v>40131</v>
      </c>
      <c r="B476" s="7" t="s">
        <v>490</v>
      </c>
      <c r="C476" s="7" t="s">
        <v>971</v>
      </c>
      <c r="D476" s="8">
        <v>95405</v>
      </c>
      <c r="E476" s="8">
        <v>96903</v>
      </c>
      <c r="F476" s="8">
        <v>99103</v>
      </c>
      <c r="G476" s="8">
        <v>100268</v>
      </c>
      <c r="H476" s="8">
        <v>101371</v>
      </c>
    </row>
    <row r="477" spans="1:8" x14ac:dyDescent="0.3">
      <c r="A477" s="7">
        <v>37159</v>
      </c>
      <c r="B477" s="7" t="s">
        <v>467</v>
      </c>
      <c r="C477" s="7" t="s">
        <v>551</v>
      </c>
      <c r="D477" s="8">
        <v>146909</v>
      </c>
      <c r="E477" s="8">
        <v>147687</v>
      </c>
      <c r="F477" s="8">
        <v>149514</v>
      </c>
      <c r="G477" s="8">
        <v>151883</v>
      </c>
      <c r="H477" s="8">
        <v>153384</v>
      </c>
    </row>
    <row r="478" spans="1:8" x14ac:dyDescent="0.3">
      <c r="A478" s="7">
        <v>47149</v>
      </c>
      <c r="B478" s="7" t="s">
        <v>27</v>
      </c>
      <c r="C478" s="7" t="s">
        <v>536</v>
      </c>
      <c r="D478" s="8">
        <v>343302</v>
      </c>
      <c r="E478" s="8">
        <v>351241</v>
      </c>
      <c r="F478" s="8">
        <v>362044</v>
      </c>
      <c r="G478" s="8">
        <v>369649</v>
      </c>
      <c r="H478" s="8">
        <v>376996</v>
      </c>
    </row>
    <row r="479" spans="1:8" x14ac:dyDescent="0.3">
      <c r="A479" s="7">
        <v>6067</v>
      </c>
      <c r="B479" s="7" t="s">
        <v>15</v>
      </c>
      <c r="C479" s="7" t="s">
        <v>477</v>
      </c>
      <c r="D479" s="8">
        <v>1586727</v>
      </c>
      <c r="E479" s="8">
        <v>1588824</v>
      </c>
      <c r="F479" s="8">
        <v>1588743</v>
      </c>
      <c r="G479" s="8">
        <v>1594506</v>
      </c>
      <c r="H479" s="8">
        <v>1611231</v>
      </c>
    </row>
    <row r="480" spans="1:8" x14ac:dyDescent="0.3">
      <c r="A480" s="7">
        <v>26145</v>
      </c>
      <c r="B480" s="7" t="s">
        <v>480</v>
      </c>
      <c r="C480" s="7" t="s">
        <v>716</v>
      </c>
      <c r="D480" s="8">
        <v>189883</v>
      </c>
      <c r="E480" s="8">
        <v>189533</v>
      </c>
      <c r="F480" s="8">
        <v>188425</v>
      </c>
      <c r="G480" s="8">
        <v>187769</v>
      </c>
      <c r="H480" s="8">
        <v>187714</v>
      </c>
    </row>
    <row r="481" spans="1:8" x14ac:dyDescent="0.3">
      <c r="A481" s="7">
        <v>5125</v>
      </c>
      <c r="B481" s="7" t="s">
        <v>588</v>
      </c>
      <c r="C481" s="7" t="s">
        <v>809</v>
      </c>
      <c r="D481" s="8">
        <v>123820</v>
      </c>
      <c r="E481" s="8">
        <v>125338</v>
      </c>
      <c r="F481" s="8">
        <v>127419</v>
      </c>
      <c r="G481" s="8">
        <v>129566</v>
      </c>
      <c r="H481" s="8">
        <v>131252</v>
      </c>
    </row>
    <row r="482" spans="1:8" x14ac:dyDescent="0.3">
      <c r="A482" s="7">
        <v>49035</v>
      </c>
      <c r="B482" s="7" t="s">
        <v>572</v>
      </c>
      <c r="C482" s="7" t="s">
        <v>571</v>
      </c>
      <c r="D482" s="8">
        <v>1187028</v>
      </c>
      <c r="E482" s="8">
        <v>1186513</v>
      </c>
      <c r="F482" s="8">
        <v>1192255</v>
      </c>
      <c r="G482" s="8">
        <v>1200544</v>
      </c>
      <c r="H482" s="8">
        <v>1216274</v>
      </c>
    </row>
    <row r="483" spans="1:8" x14ac:dyDescent="0.3">
      <c r="A483" s="7">
        <v>6071</v>
      </c>
      <c r="B483" s="7" t="s">
        <v>15</v>
      </c>
      <c r="C483" s="7" t="s">
        <v>599</v>
      </c>
      <c r="D483" s="8">
        <v>2183526</v>
      </c>
      <c r="E483" s="8">
        <v>2190877</v>
      </c>
      <c r="F483" s="8">
        <v>2196029</v>
      </c>
      <c r="G483" s="8">
        <v>2200805</v>
      </c>
      <c r="H483" s="8">
        <v>2214281</v>
      </c>
    </row>
    <row r="484" spans="1:8" x14ac:dyDescent="0.3">
      <c r="A484" s="7">
        <v>6073</v>
      </c>
      <c r="B484" s="7" t="s">
        <v>15</v>
      </c>
      <c r="C484" s="7" t="s">
        <v>606</v>
      </c>
      <c r="D484" s="8">
        <v>3301182</v>
      </c>
      <c r="E484" s="8">
        <v>3274244</v>
      </c>
      <c r="F484" s="8">
        <v>3283755</v>
      </c>
      <c r="G484" s="8">
        <v>3285890</v>
      </c>
      <c r="H484" s="8">
        <v>3298799</v>
      </c>
    </row>
    <row r="485" spans="1:8" x14ac:dyDescent="0.3">
      <c r="A485" s="7">
        <v>6075</v>
      </c>
      <c r="B485" s="7" t="s">
        <v>15</v>
      </c>
      <c r="C485" s="7" t="s">
        <v>14</v>
      </c>
      <c r="D485" s="8">
        <v>874826</v>
      </c>
      <c r="E485" s="8">
        <v>815498</v>
      </c>
      <c r="F485" s="8">
        <v>814176</v>
      </c>
      <c r="G485" s="8">
        <v>819151</v>
      </c>
      <c r="H485" s="8">
        <v>827526</v>
      </c>
    </row>
    <row r="486" spans="1:8" x14ac:dyDescent="0.3">
      <c r="A486" s="7">
        <v>6077</v>
      </c>
      <c r="B486" s="7" t="s">
        <v>15</v>
      </c>
      <c r="C486" s="7" t="s">
        <v>556</v>
      </c>
      <c r="D486" s="8">
        <v>780676</v>
      </c>
      <c r="E486" s="8">
        <v>788096</v>
      </c>
      <c r="F486" s="8">
        <v>795880</v>
      </c>
      <c r="G486" s="8">
        <v>805909</v>
      </c>
      <c r="H486" s="8">
        <v>816108</v>
      </c>
    </row>
    <row r="487" spans="1:8" x14ac:dyDescent="0.3">
      <c r="A487" s="7">
        <v>35045</v>
      </c>
      <c r="B487" s="7" t="s">
        <v>29</v>
      </c>
      <c r="C487" s="7" t="s">
        <v>512</v>
      </c>
      <c r="D487" s="8">
        <v>121387</v>
      </c>
      <c r="E487" s="8">
        <v>121019</v>
      </c>
      <c r="F487" s="8">
        <v>120580</v>
      </c>
      <c r="G487" s="8">
        <v>120907</v>
      </c>
      <c r="H487" s="8">
        <v>120817</v>
      </c>
    </row>
    <row r="488" spans="1:8" x14ac:dyDescent="0.3">
      <c r="A488" s="7">
        <v>6079</v>
      </c>
      <c r="B488" s="7" t="s">
        <v>15</v>
      </c>
      <c r="C488" s="7" t="s">
        <v>538</v>
      </c>
      <c r="D488" s="8">
        <v>281924</v>
      </c>
      <c r="E488" s="8">
        <v>279468</v>
      </c>
      <c r="F488" s="8">
        <v>282535</v>
      </c>
      <c r="G488" s="8">
        <v>282007</v>
      </c>
      <c r="H488" s="8">
        <v>281843</v>
      </c>
    </row>
    <row r="489" spans="1:8" x14ac:dyDescent="0.3">
      <c r="A489" s="7">
        <v>6081</v>
      </c>
      <c r="B489" s="7" t="s">
        <v>15</v>
      </c>
      <c r="C489" s="7" t="s">
        <v>789</v>
      </c>
      <c r="D489" s="8">
        <v>762727</v>
      </c>
      <c r="E489" s="8">
        <v>739330</v>
      </c>
      <c r="F489" s="8">
        <v>732485</v>
      </c>
      <c r="G489" s="8">
        <v>734267</v>
      </c>
      <c r="H489" s="8">
        <v>742893</v>
      </c>
    </row>
    <row r="490" spans="1:8" x14ac:dyDescent="0.3">
      <c r="A490" s="7">
        <v>35043</v>
      </c>
      <c r="B490" s="7" t="s">
        <v>29</v>
      </c>
      <c r="C490" s="7" t="s">
        <v>488</v>
      </c>
      <c r="D490" s="8">
        <v>149301</v>
      </c>
      <c r="E490" s="8">
        <v>151509</v>
      </c>
      <c r="F490" s="8">
        <v>153509</v>
      </c>
      <c r="G490" s="8">
        <v>155943</v>
      </c>
      <c r="H490" s="8">
        <v>157757</v>
      </c>
    </row>
    <row r="491" spans="1:8" x14ac:dyDescent="0.3">
      <c r="A491" s="7">
        <v>17167</v>
      </c>
      <c r="B491" s="7" t="s">
        <v>262</v>
      </c>
      <c r="C491" s="7" t="s">
        <v>261</v>
      </c>
      <c r="D491" s="8">
        <v>196223</v>
      </c>
      <c r="E491" s="8">
        <v>195468</v>
      </c>
      <c r="F491" s="8">
        <v>194483</v>
      </c>
      <c r="G491" s="8">
        <v>194216</v>
      </c>
      <c r="H491" s="8">
        <v>194345</v>
      </c>
    </row>
    <row r="492" spans="1:8" x14ac:dyDescent="0.3">
      <c r="A492" s="7">
        <v>6083</v>
      </c>
      <c r="B492" s="7" t="s">
        <v>15</v>
      </c>
      <c r="C492" s="7" t="s">
        <v>625</v>
      </c>
      <c r="D492" s="8">
        <v>448083</v>
      </c>
      <c r="E492" s="8">
        <v>437117</v>
      </c>
      <c r="F492" s="8">
        <v>445286</v>
      </c>
      <c r="G492" s="8">
        <v>443521</v>
      </c>
      <c r="H492" s="8">
        <v>444500</v>
      </c>
    </row>
    <row r="493" spans="1:8" x14ac:dyDescent="0.3">
      <c r="A493" s="7">
        <v>6085</v>
      </c>
      <c r="B493" s="7" t="s">
        <v>15</v>
      </c>
      <c r="C493" s="7" t="s">
        <v>758</v>
      </c>
      <c r="D493" s="8">
        <v>1924802</v>
      </c>
      <c r="E493" s="8">
        <v>1878320</v>
      </c>
      <c r="F493" s="8">
        <v>1883653</v>
      </c>
      <c r="G493" s="8">
        <v>1897137</v>
      </c>
      <c r="H493" s="8">
        <v>1926325</v>
      </c>
    </row>
    <row r="494" spans="1:8" x14ac:dyDescent="0.3">
      <c r="A494" s="7">
        <v>6087</v>
      </c>
      <c r="B494" s="7" t="s">
        <v>15</v>
      </c>
      <c r="C494" s="7" t="s">
        <v>495</v>
      </c>
      <c r="D494" s="8">
        <v>271768</v>
      </c>
      <c r="E494" s="8">
        <v>260904</v>
      </c>
      <c r="F494" s="8">
        <v>265851</v>
      </c>
      <c r="G494" s="8">
        <v>263699</v>
      </c>
      <c r="H494" s="8">
        <v>262406</v>
      </c>
    </row>
    <row r="495" spans="1:8" x14ac:dyDescent="0.3">
      <c r="A495" s="7">
        <v>35049</v>
      </c>
      <c r="B495" s="7" t="s">
        <v>29</v>
      </c>
      <c r="C495" s="7" t="s">
        <v>249</v>
      </c>
      <c r="D495" s="8">
        <v>155056</v>
      </c>
      <c r="E495" s="8">
        <v>155429</v>
      </c>
      <c r="F495" s="8">
        <v>155768</v>
      </c>
      <c r="G495" s="8">
        <v>156507</v>
      </c>
      <c r="H495" s="8">
        <v>157765</v>
      </c>
    </row>
    <row r="496" spans="1:8" x14ac:dyDescent="0.3">
      <c r="A496" s="7">
        <v>12113</v>
      </c>
      <c r="B496" s="7" t="s">
        <v>50</v>
      </c>
      <c r="C496" s="7" t="s">
        <v>691</v>
      </c>
      <c r="D496" s="8">
        <v>189022</v>
      </c>
      <c r="E496" s="8">
        <v>193751</v>
      </c>
      <c r="F496" s="8">
        <v>198363</v>
      </c>
      <c r="G496" s="8">
        <v>203569</v>
      </c>
      <c r="H496" s="8">
        <v>207653</v>
      </c>
    </row>
    <row r="497" spans="1:8" x14ac:dyDescent="0.3">
      <c r="A497" s="7">
        <v>12115</v>
      </c>
      <c r="B497" s="7" t="s">
        <v>50</v>
      </c>
      <c r="C497" s="7" t="s">
        <v>761</v>
      </c>
      <c r="D497" s="8">
        <v>436256</v>
      </c>
      <c r="E497" s="8">
        <v>448730</v>
      </c>
      <c r="F497" s="8">
        <v>464067</v>
      </c>
      <c r="G497" s="8">
        <v>472079</v>
      </c>
      <c r="H497" s="8">
        <v>476604</v>
      </c>
    </row>
    <row r="498" spans="1:8" x14ac:dyDescent="0.3">
      <c r="A498" s="7">
        <v>36091</v>
      </c>
      <c r="B498" s="7" t="s">
        <v>32</v>
      </c>
      <c r="C498" s="7" t="s">
        <v>897</v>
      </c>
      <c r="D498" s="8">
        <v>235811</v>
      </c>
      <c r="E498" s="8">
        <v>237885</v>
      </c>
      <c r="F498" s="8">
        <v>238491</v>
      </c>
      <c r="G498" s="8">
        <v>238873</v>
      </c>
      <c r="H498" s="8">
        <v>240360</v>
      </c>
    </row>
    <row r="499" spans="1:8" x14ac:dyDescent="0.3">
      <c r="A499" s="7">
        <v>31153</v>
      </c>
      <c r="B499" s="7" t="s">
        <v>868</v>
      </c>
      <c r="C499" s="7" t="s">
        <v>870</v>
      </c>
      <c r="D499" s="8">
        <v>191181</v>
      </c>
      <c r="E499" s="8">
        <v>193853</v>
      </c>
      <c r="F499" s="8">
        <v>196606</v>
      </c>
      <c r="G499" s="8">
        <v>200477</v>
      </c>
      <c r="H499" s="8">
        <v>204828</v>
      </c>
    </row>
    <row r="500" spans="1:8" x14ac:dyDescent="0.3">
      <c r="A500" s="7">
        <v>36093</v>
      </c>
      <c r="B500" s="7" t="s">
        <v>32</v>
      </c>
      <c r="C500" s="7" t="s">
        <v>728</v>
      </c>
      <c r="D500" s="8">
        <v>159294</v>
      </c>
      <c r="E500" s="8">
        <v>160066</v>
      </c>
      <c r="F500" s="8">
        <v>159846</v>
      </c>
      <c r="G500" s="8">
        <v>160378</v>
      </c>
      <c r="H500" s="8">
        <v>162261</v>
      </c>
    </row>
    <row r="501" spans="1:8" x14ac:dyDescent="0.3">
      <c r="A501" s="7">
        <v>42107</v>
      </c>
      <c r="B501" s="7" t="s">
        <v>19</v>
      </c>
      <c r="C501" s="7" t="s">
        <v>564</v>
      </c>
      <c r="D501" s="8">
        <v>142959</v>
      </c>
      <c r="E501" s="8">
        <v>143169</v>
      </c>
      <c r="F501" s="8">
        <v>143205</v>
      </c>
      <c r="G501" s="8">
        <v>143932</v>
      </c>
      <c r="H501" s="8">
        <v>144523</v>
      </c>
    </row>
    <row r="502" spans="1:8" x14ac:dyDescent="0.3">
      <c r="A502" s="7">
        <v>27139</v>
      </c>
      <c r="B502" s="7" t="s">
        <v>475</v>
      </c>
      <c r="C502" s="7" t="s">
        <v>882</v>
      </c>
      <c r="D502" s="8">
        <v>151356</v>
      </c>
      <c r="E502" s="8">
        <v>153633</v>
      </c>
      <c r="F502" s="8">
        <v>154606</v>
      </c>
      <c r="G502" s="8">
        <v>155986</v>
      </c>
      <c r="H502" s="8">
        <v>157206</v>
      </c>
    </row>
    <row r="503" spans="1:8" x14ac:dyDescent="0.3">
      <c r="A503" s="7">
        <v>19163</v>
      </c>
      <c r="B503" s="7" t="s">
        <v>627</v>
      </c>
      <c r="C503" s="7" t="s">
        <v>882</v>
      </c>
      <c r="D503" s="8">
        <v>174617</v>
      </c>
      <c r="E503" s="8">
        <v>174250</v>
      </c>
      <c r="F503" s="8">
        <v>173985</v>
      </c>
      <c r="G503" s="8">
        <v>174589</v>
      </c>
      <c r="H503" s="8">
        <v>175601</v>
      </c>
    </row>
    <row r="504" spans="1:8" x14ac:dyDescent="0.3">
      <c r="A504" s="7">
        <v>5131</v>
      </c>
      <c r="B504" s="7" t="s">
        <v>588</v>
      </c>
      <c r="C504" s="7" t="s">
        <v>883</v>
      </c>
      <c r="D504" s="8">
        <v>127813</v>
      </c>
      <c r="E504" s="8">
        <v>128223</v>
      </c>
      <c r="F504" s="8">
        <v>129226</v>
      </c>
      <c r="G504" s="8">
        <v>129203</v>
      </c>
      <c r="H504" s="8">
        <v>130035</v>
      </c>
    </row>
    <row r="505" spans="1:8" x14ac:dyDescent="0.3">
      <c r="A505" s="7">
        <v>20173</v>
      </c>
      <c r="B505" s="7" t="s">
        <v>267</v>
      </c>
      <c r="C505" s="7" t="s">
        <v>460</v>
      </c>
      <c r="D505" s="8">
        <v>524837</v>
      </c>
      <c r="E505" s="8">
        <v>524470</v>
      </c>
      <c r="F505" s="8">
        <v>525488</v>
      </c>
      <c r="G505" s="8">
        <v>530254</v>
      </c>
      <c r="H505" s="8">
        <v>536081</v>
      </c>
    </row>
    <row r="506" spans="1:8" x14ac:dyDescent="0.3">
      <c r="A506" s="7">
        <v>12117</v>
      </c>
      <c r="B506" s="7" t="s">
        <v>50</v>
      </c>
      <c r="C506" s="7" t="s">
        <v>805</v>
      </c>
      <c r="D506" s="8">
        <v>471472</v>
      </c>
      <c r="E506" s="8">
        <v>470935</v>
      </c>
      <c r="F506" s="8">
        <v>481084</v>
      </c>
      <c r="G506" s="8">
        <v>489254</v>
      </c>
      <c r="H506" s="8">
        <v>494605</v>
      </c>
    </row>
    <row r="507" spans="1:8" x14ac:dyDescent="0.3">
      <c r="A507" s="7">
        <v>47155</v>
      </c>
      <c r="B507" s="7" t="s">
        <v>27</v>
      </c>
      <c r="C507" s="7" t="s">
        <v>270</v>
      </c>
      <c r="D507" s="8">
        <v>98865</v>
      </c>
      <c r="E507" s="8">
        <v>99667</v>
      </c>
      <c r="F507" s="8">
        <v>99318</v>
      </c>
      <c r="G507" s="8">
        <v>100224</v>
      </c>
      <c r="H507" s="8">
        <v>100184</v>
      </c>
    </row>
    <row r="508" spans="1:8" x14ac:dyDescent="0.3">
      <c r="A508" s="7">
        <v>6089</v>
      </c>
      <c r="B508" s="7" t="s">
        <v>15</v>
      </c>
      <c r="C508" s="7" t="s">
        <v>449</v>
      </c>
      <c r="D508" s="8">
        <v>182190</v>
      </c>
      <c r="E508" s="8">
        <v>182243</v>
      </c>
      <c r="F508" s="8">
        <v>180972</v>
      </c>
      <c r="G508" s="8">
        <v>180656</v>
      </c>
      <c r="H508" s="8">
        <v>181121</v>
      </c>
    </row>
    <row r="509" spans="1:8" x14ac:dyDescent="0.3">
      <c r="A509" s="7">
        <v>20177</v>
      </c>
      <c r="B509" s="7" t="s">
        <v>267</v>
      </c>
      <c r="C509" s="7" t="s">
        <v>266</v>
      </c>
      <c r="D509" s="8">
        <v>178711</v>
      </c>
      <c r="E509" s="8">
        <v>178424</v>
      </c>
      <c r="F509" s="8">
        <v>177454</v>
      </c>
      <c r="G509" s="8">
        <v>177596</v>
      </c>
      <c r="H509" s="8">
        <v>177942</v>
      </c>
    </row>
    <row r="510" spans="1:8" x14ac:dyDescent="0.3">
      <c r="A510" s="7">
        <v>55117</v>
      </c>
      <c r="B510" s="7" t="s">
        <v>38</v>
      </c>
      <c r="C510" s="7" t="s">
        <v>972</v>
      </c>
      <c r="D510" s="8">
        <v>118058</v>
      </c>
      <c r="E510" s="8">
        <v>117710</v>
      </c>
      <c r="F510" s="8">
        <v>117860</v>
      </c>
      <c r="G510" s="8">
        <v>117995</v>
      </c>
      <c r="H510" s="8">
        <v>118331</v>
      </c>
    </row>
    <row r="511" spans="1:8" x14ac:dyDescent="0.3">
      <c r="A511" s="7">
        <v>47157</v>
      </c>
      <c r="B511" s="7" t="s">
        <v>27</v>
      </c>
      <c r="C511" s="7" t="s">
        <v>48</v>
      </c>
      <c r="D511" s="8">
        <v>929788</v>
      </c>
      <c r="E511" s="8">
        <v>923255</v>
      </c>
      <c r="F511" s="8">
        <v>918382</v>
      </c>
      <c r="G511" s="8">
        <v>913909</v>
      </c>
      <c r="H511" s="8">
        <v>910530</v>
      </c>
    </row>
    <row r="512" spans="1:8" x14ac:dyDescent="0.3">
      <c r="A512" s="7">
        <v>1117</v>
      </c>
      <c r="B512" s="7" t="s">
        <v>463</v>
      </c>
      <c r="C512" s="7" t="s">
        <v>48</v>
      </c>
      <c r="D512" s="8">
        <v>223915</v>
      </c>
      <c r="E512" s="8">
        <v>227436</v>
      </c>
      <c r="F512" s="8">
        <v>230140</v>
      </c>
      <c r="G512" s="8">
        <v>233593</v>
      </c>
      <c r="H512" s="8">
        <v>235969</v>
      </c>
    </row>
    <row r="513" spans="1:8" x14ac:dyDescent="0.3">
      <c r="A513" s="7">
        <v>27141</v>
      </c>
      <c r="B513" s="7" t="s">
        <v>475</v>
      </c>
      <c r="C513" s="7" t="s">
        <v>817</v>
      </c>
      <c r="D513" s="8">
        <v>97589</v>
      </c>
      <c r="E513" s="8">
        <v>99220</v>
      </c>
      <c r="F513" s="8">
        <v>100617</v>
      </c>
      <c r="G513" s="8">
        <v>102313</v>
      </c>
      <c r="H513" s="8">
        <v>103059</v>
      </c>
    </row>
    <row r="514" spans="1:8" x14ac:dyDescent="0.3">
      <c r="A514" s="10">
        <v>53057</v>
      </c>
      <c r="B514" s="10" t="s">
        <v>13</v>
      </c>
      <c r="C514" s="10" t="s">
        <v>263</v>
      </c>
      <c r="D514" s="11">
        <v>129901</v>
      </c>
      <c r="E514" s="11">
        <v>131018</v>
      </c>
      <c r="F514" s="11">
        <v>131229</v>
      </c>
      <c r="G514" s="11">
        <v>131754</v>
      </c>
      <c r="H514" s="11">
        <v>132736</v>
      </c>
    </row>
    <row r="515" spans="1:8" x14ac:dyDescent="0.3">
      <c r="A515" s="7">
        <v>48423</v>
      </c>
      <c r="B515" s="7" t="s">
        <v>604</v>
      </c>
      <c r="C515" s="7" t="s">
        <v>892</v>
      </c>
      <c r="D515" s="8">
        <v>234200</v>
      </c>
      <c r="E515" s="8">
        <v>237206</v>
      </c>
      <c r="F515" s="8">
        <v>242249</v>
      </c>
      <c r="G515" s="8">
        <v>245955</v>
      </c>
      <c r="H515" s="8">
        <v>249091</v>
      </c>
    </row>
    <row r="516" spans="1:8" x14ac:dyDescent="0.3">
      <c r="A516" s="10">
        <v>53061</v>
      </c>
      <c r="B516" s="10" t="s">
        <v>13</v>
      </c>
      <c r="C516" s="10" t="s">
        <v>51</v>
      </c>
      <c r="D516" s="11">
        <v>829975</v>
      </c>
      <c r="E516" s="11">
        <v>836235</v>
      </c>
      <c r="F516" s="11">
        <v>841529</v>
      </c>
      <c r="G516" s="11">
        <v>850297</v>
      </c>
      <c r="H516" s="11">
        <v>864113</v>
      </c>
    </row>
    <row r="517" spans="1:8" x14ac:dyDescent="0.3">
      <c r="A517" s="7">
        <v>6095</v>
      </c>
      <c r="B517" s="7" t="s">
        <v>15</v>
      </c>
      <c r="C517" s="7" t="s">
        <v>514</v>
      </c>
      <c r="D517" s="8">
        <v>452887</v>
      </c>
      <c r="E517" s="8">
        <v>450819</v>
      </c>
      <c r="F517" s="8">
        <v>449724</v>
      </c>
      <c r="G517" s="8">
        <v>451060</v>
      </c>
      <c r="H517" s="8">
        <v>455101</v>
      </c>
    </row>
    <row r="518" spans="1:8" x14ac:dyDescent="0.3">
      <c r="A518" s="7">
        <v>34035</v>
      </c>
      <c r="B518" s="7" t="s">
        <v>237</v>
      </c>
      <c r="C518" s="7" t="s">
        <v>827</v>
      </c>
      <c r="D518" s="8">
        <v>344788</v>
      </c>
      <c r="E518" s="8">
        <v>346562</v>
      </c>
      <c r="F518" s="8">
        <v>348319</v>
      </c>
      <c r="G518" s="8">
        <v>352095</v>
      </c>
      <c r="H518" s="8">
        <v>357467</v>
      </c>
    </row>
    <row r="519" spans="1:8" x14ac:dyDescent="0.3">
      <c r="A519" s="7">
        <v>6097</v>
      </c>
      <c r="B519" s="7" t="s">
        <v>15</v>
      </c>
      <c r="C519" s="7" t="s">
        <v>636</v>
      </c>
      <c r="D519" s="8">
        <v>488501</v>
      </c>
      <c r="E519" s="8">
        <v>484561</v>
      </c>
      <c r="F519" s="8">
        <v>483398</v>
      </c>
      <c r="G519" s="8">
        <v>483366</v>
      </c>
      <c r="H519" s="8">
        <v>485375</v>
      </c>
    </row>
    <row r="520" spans="1:8" x14ac:dyDescent="0.3">
      <c r="A520" s="7">
        <v>9170</v>
      </c>
      <c r="B520" s="7" t="s">
        <v>907</v>
      </c>
      <c r="C520" s="7" t="s">
        <v>973</v>
      </c>
      <c r="D520" s="8">
        <v>564526</v>
      </c>
      <c r="E520" s="8">
        <v>568961</v>
      </c>
      <c r="F520" s="8">
        <v>569866</v>
      </c>
      <c r="G520" s="8">
        <v>572919</v>
      </c>
      <c r="H520" s="8">
        <v>576718</v>
      </c>
    </row>
    <row r="521" spans="1:8" x14ac:dyDescent="0.3">
      <c r="A521" s="7">
        <v>9180</v>
      </c>
      <c r="B521" s="7" t="s">
        <v>907</v>
      </c>
      <c r="C521" s="7" t="s">
        <v>974</v>
      </c>
      <c r="D521" s="8">
        <v>278379</v>
      </c>
      <c r="E521" s="8">
        <v>278855</v>
      </c>
      <c r="F521" s="8">
        <v>279398</v>
      </c>
      <c r="G521" s="8">
        <v>280622</v>
      </c>
      <c r="H521" s="8">
        <v>282602</v>
      </c>
    </row>
    <row r="522" spans="1:8" x14ac:dyDescent="0.3">
      <c r="A522" s="7">
        <v>45083</v>
      </c>
      <c r="B522" s="7" t="s">
        <v>458</v>
      </c>
      <c r="C522" s="7" t="s">
        <v>567</v>
      </c>
      <c r="D522" s="8">
        <v>329405</v>
      </c>
      <c r="E522" s="8">
        <v>335452</v>
      </c>
      <c r="F522" s="8">
        <v>346455</v>
      </c>
      <c r="G522" s="8">
        <v>358690</v>
      </c>
      <c r="H522" s="8">
        <v>369256</v>
      </c>
    </row>
    <row r="523" spans="1:8" x14ac:dyDescent="0.3">
      <c r="A523" s="13">
        <v>53063</v>
      </c>
      <c r="B523" s="13" t="s">
        <v>13</v>
      </c>
      <c r="C523" s="13" t="s">
        <v>12</v>
      </c>
      <c r="D523" s="14">
        <v>541198</v>
      </c>
      <c r="E523" s="14">
        <v>545540</v>
      </c>
      <c r="F523" s="14">
        <v>549835</v>
      </c>
      <c r="G523" s="14">
        <v>552758</v>
      </c>
      <c r="H523" s="14">
        <v>555947</v>
      </c>
    </row>
    <row r="524" spans="1:8" x14ac:dyDescent="0.3">
      <c r="A524" s="7">
        <v>51177</v>
      </c>
      <c r="B524" s="7" t="s">
        <v>239</v>
      </c>
      <c r="C524" s="7" t="s">
        <v>721</v>
      </c>
      <c r="D524" s="8">
        <v>140611</v>
      </c>
      <c r="E524" s="8">
        <v>144027</v>
      </c>
      <c r="F524" s="8">
        <v>146744</v>
      </c>
      <c r="G524" s="8">
        <v>149614</v>
      </c>
      <c r="H524" s="8">
        <v>152021</v>
      </c>
    </row>
    <row r="525" spans="1:8" x14ac:dyDescent="0.3">
      <c r="A525" s="7">
        <v>29183</v>
      </c>
      <c r="B525" s="7" t="s">
        <v>230</v>
      </c>
      <c r="C525" s="7" t="s">
        <v>776</v>
      </c>
      <c r="D525" s="8">
        <v>406423</v>
      </c>
      <c r="E525" s="8">
        <v>410515</v>
      </c>
      <c r="F525" s="8">
        <v>414055</v>
      </c>
      <c r="G525" s="8">
        <v>417958</v>
      </c>
      <c r="H525" s="8">
        <v>423726</v>
      </c>
    </row>
    <row r="526" spans="1:8" x14ac:dyDescent="0.3">
      <c r="A526" s="7">
        <v>17163</v>
      </c>
      <c r="B526" s="7" t="s">
        <v>262</v>
      </c>
      <c r="C526" s="7" t="s">
        <v>524</v>
      </c>
      <c r="D526" s="8">
        <v>257070</v>
      </c>
      <c r="E526" s="8">
        <v>255210</v>
      </c>
      <c r="F526" s="8">
        <v>252947</v>
      </c>
      <c r="G526" s="8">
        <v>252094</v>
      </c>
      <c r="H526" s="8">
        <v>251149</v>
      </c>
    </row>
    <row r="527" spans="1:8" x14ac:dyDescent="0.3">
      <c r="A527" s="7">
        <v>26147</v>
      </c>
      <c r="B527" s="7" t="s">
        <v>480</v>
      </c>
      <c r="C527" s="7" t="s">
        <v>524</v>
      </c>
      <c r="D527" s="8">
        <v>160394</v>
      </c>
      <c r="E527" s="8">
        <v>160243</v>
      </c>
      <c r="F527" s="8">
        <v>159882</v>
      </c>
      <c r="G527" s="8">
        <v>160280</v>
      </c>
      <c r="H527" s="8">
        <v>160308</v>
      </c>
    </row>
    <row r="528" spans="1:8" x14ac:dyDescent="0.3">
      <c r="A528" s="7">
        <v>12109</v>
      </c>
      <c r="B528" s="7" t="s">
        <v>50</v>
      </c>
      <c r="C528" s="7" t="s">
        <v>837</v>
      </c>
      <c r="D528" s="8">
        <v>277105</v>
      </c>
      <c r="E528" s="8">
        <v>293292</v>
      </c>
      <c r="F528" s="8">
        <v>307837</v>
      </c>
      <c r="G528" s="8">
        <v>321510</v>
      </c>
      <c r="H528" s="8">
        <v>334928</v>
      </c>
    </row>
    <row r="529" spans="1:8" x14ac:dyDescent="0.3">
      <c r="A529" s="7">
        <v>18141</v>
      </c>
      <c r="B529" s="7" t="s">
        <v>35</v>
      </c>
      <c r="C529" s="7" t="s">
        <v>694</v>
      </c>
      <c r="D529" s="8">
        <v>272688</v>
      </c>
      <c r="E529" s="8">
        <v>272315</v>
      </c>
      <c r="F529" s="8">
        <v>272796</v>
      </c>
      <c r="G529" s="8">
        <v>273658</v>
      </c>
      <c r="H529" s="8">
        <v>273744</v>
      </c>
    </row>
    <row r="530" spans="1:8" x14ac:dyDescent="0.3">
      <c r="A530" s="7">
        <v>36089</v>
      </c>
      <c r="B530" s="7" t="s">
        <v>32</v>
      </c>
      <c r="C530" s="7" t="s">
        <v>975</v>
      </c>
      <c r="D530" s="8">
        <v>108327</v>
      </c>
      <c r="E530" s="8">
        <v>107835</v>
      </c>
      <c r="F530" s="8">
        <v>107043</v>
      </c>
      <c r="G530" s="8">
        <v>106727</v>
      </c>
      <c r="H530" s="8">
        <v>106198</v>
      </c>
    </row>
    <row r="531" spans="1:8" x14ac:dyDescent="0.3">
      <c r="A531" s="7">
        <v>27137</v>
      </c>
      <c r="B531" s="7" t="s">
        <v>475</v>
      </c>
      <c r="C531" s="7" t="s">
        <v>640</v>
      </c>
      <c r="D531" s="8">
        <v>200083</v>
      </c>
      <c r="E531" s="8">
        <v>199522</v>
      </c>
      <c r="F531" s="8">
        <v>199598</v>
      </c>
      <c r="G531" s="8">
        <v>200618</v>
      </c>
      <c r="H531" s="8">
        <v>200794</v>
      </c>
    </row>
    <row r="532" spans="1:8" x14ac:dyDescent="0.3">
      <c r="A532" s="7">
        <v>29189</v>
      </c>
      <c r="B532" s="7" t="s">
        <v>230</v>
      </c>
      <c r="C532" s="7" t="s">
        <v>640</v>
      </c>
      <c r="D532" s="8">
        <v>1003376</v>
      </c>
      <c r="E532" s="8">
        <v>998785</v>
      </c>
      <c r="F532" s="8">
        <v>991881</v>
      </c>
      <c r="G532" s="8">
        <v>990875</v>
      </c>
      <c r="H532" s="8">
        <v>992929</v>
      </c>
    </row>
    <row r="533" spans="1:8" x14ac:dyDescent="0.3">
      <c r="A533" s="7">
        <v>29510</v>
      </c>
      <c r="B533" s="7" t="s">
        <v>230</v>
      </c>
      <c r="C533" s="7" t="s">
        <v>229</v>
      </c>
      <c r="D533" s="8">
        <v>300315</v>
      </c>
      <c r="E533" s="8">
        <v>293484</v>
      </c>
      <c r="F533" s="8">
        <v>286292</v>
      </c>
      <c r="G533" s="8">
        <v>282772</v>
      </c>
      <c r="H533" s="8">
        <v>279695</v>
      </c>
    </row>
    <row r="534" spans="1:8" x14ac:dyDescent="0.3">
      <c r="A534" s="7">
        <v>12111</v>
      </c>
      <c r="B534" s="7" t="s">
        <v>50</v>
      </c>
      <c r="C534" s="7" t="s">
        <v>723</v>
      </c>
      <c r="D534" s="8">
        <v>331461</v>
      </c>
      <c r="E534" s="8">
        <v>344300</v>
      </c>
      <c r="F534" s="8">
        <v>359882</v>
      </c>
      <c r="G534" s="8">
        <v>376186</v>
      </c>
      <c r="H534" s="8">
        <v>390670</v>
      </c>
    </row>
    <row r="535" spans="1:8" x14ac:dyDescent="0.3">
      <c r="A535" s="7">
        <v>24037</v>
      </c>
      <c r="B535" s="7" t="s">
        <v>11</v>
      </c>
      <c r="C535" s="7" t="s">
        <v>775</v>
      </c>
      <c r="D535" s="8">
        <v>114006</v>
      </c>
      <c r="E535" s="8">
        <v>114674</v>
      </c>
      <c r="F535" s="8">
        <v>115001</v>
      </c>
      <c r="G535" s="8">
        <v>115479</v>
      </c>
      <c r="H535" s="8">
        <v>116469</v>
      </c>
    </row>
    <row r="536" spans="1:8" x14ac:dyDescent="0.3">
      <c r="A536" s="7">
        <v>22103</v>
      </c>
      <c r="B536" s="7" t="s">
        <v>24</v>
      </c>
      <c r="C536" s="7" t="s">
        <v>548</v>
      </c>
      <c r="D536" s="8">
        <v>265007</v>
      </c>
      <c r="E536" s="8">
        <v>270188</v>
      </c>
      <c r="F536" s="8">
        <v>273494</v>
      </c>
      <c r="G536" s="8">
        <v>275801</v>
      </c>
      <c r="H536" s="8">
        <v>277615</v>
      </c>
    </row>
    <row r="537" spans="1:8" x14ac:dyDescent="0.3">
      <c r="A537" s="7">
        <v>51179</v>
      </c>
      <c r="B537" s="7" t="s">
        <v>239</v>
      </c>
      <c r="C537" s="7" t="s">
        <v>887</v>
      </c>
      <c r="D537" s="8">
        <v>157767</v>
      </c>
      <c r="E537" s="8">
        <v>161588</v>
      </c>
      <c r="F537" s="8">
        <v>163233</v>
      </c>
      <c r="G537" s="8">
        <v>165821</v>
      </c>
      <c r="H537" s="8">
        <v>168919</v>
      </c>
    </row>
    <row r="538" spans="1:8" x14ac:dyDescent="0.3">
      <c r="A538" s="7">
        <v>6099</v>
      </c>
      <c r="B538" s="7" t="s">
        <v>15</v>
      </c>
      <c r="C538" s="7" t="s">
        <v>550</v>
      </c>
      <c r="D538" s="8">
        <v>553710</v>
      </c>
      <c r="E538" s="8">
        <v>552939</v>
      </c>
      <c r="F538" s="8">
        <v>552410</v>
      </c>
      <c r="G538" s="8">
        <v>553921</v>
      </c>
      <c r="H538" s="8">
        <v>556972</v>
      </c>
    </row>
    <row r="539" spans="1:8" x14ac:dyDescent="0.3">
      <c r="A539" s="7">
        <v>39151</v>
      </c>
      <c r="B539" s="7" t="s">
        <v>447</v>
      </c>
      <c r="C539" s="7" t="s">
        <v>513</v>
      </c>
      <c r="D539" s="8">
        <v>374552</v>
      </c>
      <c r="E539" s="8">
        <v>373861</v>
      </c>
      <c r="F539" s="8">
        <v>373008</v>
      </c>
      <c r="G539" s="8">
        <v>373052</v>
      </c>
      <c r="H539" s="8">
        <v>374091</v>
      </c>
    </row>
    <row r="540" spans="1:8" x14ac:dyDescent="0.3">
      <c r="A540" s="7">
        <v>27145</v>
      </c>
      <c r="B540" s="7" t="s">
        <v>475</v>
      </c>
      <c r="C540" s="7" t="s">
        <v>763</v>
      </c>
      <c r="D540" s="8">
        <v>158488</v>
      </c>
      <c r="E540" s="8">
        <v>159222</v>
      </c>
      <c r="F540" s="8">
        <v>160556</v>
      </c>
      <c r="G540" s="8">
        <v>162060</v>
      </c>
      <c r="H540" s="8">
        <v>163997</v>
      </c>
    </row>
    <row r="541" spans="1:8" x14ac:dyDescent="0.3">
      <c r="A541" s="7">
        <v>19169</v>
      </c>
      <c r="B541" s="7" t="s">
        <v>627</v>
      </c>
      <c r="C541" s="7" t="s">
        <v>976</v>
      </c>
      <c r="D541" s="8">
        <v>98651</v>
      </c>
      <c r="E541" s="8">
        <v>99683</v>
      </c>
      <c r="F541" s="8">
        <v>99995</v>
      </c>
      <c r="G541" s="8">
        <v>101501</v>
      </c>
      <c r="H541" s="8">
        <v>102498</v>
      </c>
    </row>
    <row r="542" spans="1:8" x14ac:dyDescent="0.3">
      <c r="A542" s="7">
        <v>33017</v>
      </c>
      <c r="B542" s="7" t="s">
        <v>590</v>
      </c>
      <c r="C542" s="7" t="s">
        <v>589</v>
      </c>
      <c r="D542" s="8">
        <v>131074</v>
      </c>
      <c r="E542" s="8">
        <v>131540</v>
      </c>
      <c r="F542" s="8">
        <v>132451</v>
      </c>
      <c r="G542" s="8">
        <v>133608</v>
      </c>
      <c r="H542" s="8">
        <v>134202</v>
      </c>
    </row>
    <row r="543" spans="1:8" x14ac:dyDescent="0.3">
      <c r="A543" s="7">
        <v>36103</v>
      </c>
      <c r="B543" s="7" t="s">
        <v>32</v>
      </c>
      <c r="C543" s="7" t="s">
        <v>518</v>
      </c>
      <c r="D543" s="8">
        <v>1522175</v>
      </c>
      <c r="E543" s="8">
        <v>1534053</v>
      </c>
      <c r="F543" s="8">
        <v>1529565</v>
      </c>
      <c r="G543" s="8">
        <v>1529029</v>
      </c>
      <c r="H543" s="8">
        <v>1535909</v>
      </c>
    </row>
    <row r="544" spans="1:8" x14ac:dyDescent="0.3">
      <c r="A544" s="7">
        <v>25025</v>
      </c>
      <c r="B544" s="7" t="s">
        <v>453</v>
      </c>
      <c r="C544" s="7" t="s">
        <v>518</v>
      </c>
      <c r="D544" s="8">
        <v>797239</v>
      </c>
      <c r="E544" s="8">
        <v>776280</v>
      </c>
      <c r="F544" s="8">
        <v>777266</v>
      </c>
      <c r="G544" s="8">
        <v>781678</v>
      </c>
      <c r="H544" s="8">
        <v>793144</v>
      </c>
    </row>
    <row r="545" spans="1:8" x14ac:dyDescent="0.3">
      <c r="A545" s="7">
        <v>51800</v>
      </c>
      <c r="B545" s="7" t="s">
        <v>239</v>
      </c>
      <c r="C545" s="7" t="s">
        <v>702</v>
      </c>
      <c r="D545" s="8">
        <v>94794</v>
      </c>
      <c r="E545" s="8">
        <v>96400</v>
      </c>
      <c r="F545" s="8">
        <v>98630</v>
      </c>
      <c r="G545" s="8">
        <v>101050</v>
      </c>
      <c r="H545" s="8">
        <v>103105</v>
      </c>
    </row>
    <row r="546" spans="1:8" x14ac:dyDescent="0.3">
      <c r="A546" s="7">
        <v>47163</v>
      </c>
      <c r="B546" s="7" t="s">
        <v>27</v>
      </c>
      <c r="C546" s="7" t="s">
        <v>503</v>
      </c>
      <c r="D546" s="8">
        <v>158244</v>
      </c>
      <c r="E546" s="8">
        <v>159228</v>
      </c>
      <c r="F546" s="8">
        <v>160891</v>
      </c>
      <c r="G546" s="8">
        <v>162054</v>
      </c>
      <c r="H546" s="8">
        <v>162703</v>
      </c>
    </row>
    <row r="547" spans="1:8" x14ac:dyDescent="0.3">
      <c r="A547" s="7">
        <v>39153</v>
      </c>
      <c r="B547" s="7" t="s">
        <v>447</v>
      </c>
      <c r="C547" s="7" t="s">
        <v>539</v>
      </c>
      <c r="D547" s="8">
        <v>539835</v>
      </c>
      <c r="E547" s="8">
        <v>537516</v>
      </c>
      <c r="F547" s="8">
        <v>536582</v>
      </c>
      <c r="G547" s="8">
        <v>537019</v>
      </c>
      <c r="H547" s="8">
        <v>538370</v>
      </c>
    </row>
    <row r="548" spans="1:8" x14ac:dyDescent="0.3">
      <c r="A548" s="7">
        <v>47165</v>
      </c>
      <c r="B548" s="7" t="s">
        <v>27</v>
      </c>
      <c r="C548" s="7" t="s">
        <v>645</v>
      </c>
      <c r="D548" s="8">
        <v>197420</v>
      </c>
      <c r="E548" s="8">
        <v>200536</v>
      </c>
      <c r="F548" s="8">
        <v>204018</v>
      </c>
      <c r="G548" s="8">
        <v>208423</v>
      </c>
      <c r="H548" s="8">
        <v>211721</v>
      </c>
    </row>
    <row r="549" spans="1:8" x14ac:dyDescent="0.3">
      <c r="A549" s="7">
        <v>45085</v>
      </c>
      <c r="B549" s="7" t="s">
        <v>458</v>
      </c>
      <c r="C549" s="7" t="s">
        <v>740</v>
      </c>
      <c r="D549" s="8">
        <v>105493</v>
      </c>
      <c r="E549" s="8">
        <v>104879</v>
      </c>
      <c r="F549" s="8">
        <v>104068</v>
      </c>
      <c r="G549" s="8">
        <v>104410</v>
      </c>
      <c r="H549" s="8">
        <v>104776</v>
      </c>
    </row>
    <row r="550" spans="1:8" x14ac:dyDescent="0.3">
      <c r="A550" s="7">
        <v>12119</v>
      </c>
      <c r="B550" s="7" t="s">
        <v>50</v>
      </c>
      <c r="C550" s="7" t="s">
        <v>740</v>
      </c>
      <c r="D550" s="8">
        <v>130303</v>
      </c>
      <c r="E550" s="8">
        <v>134908</v>
      </c>
      <c r="F550" s="8">
        <v>144978</v>
      </c>
      <c r="G550" s="8">
        <v>152157</v>
      </c>
      <c r="H550" s="8">
        <v>154693</v>
      </c>
    </row>
    <row r="551" spans="1:8" x14ac:dyDescent="0.3">
      <c r="A551" s="7">
        <v>34037</v>
      </c>
      <c r="B551" s="7" t="s">
        <v>237</v>
      </c>
      <c r="C551" s="7" t="s">
        <v>617</v>
      </c>
      <c r="D551" s="8">
        <v>143919</v>
      </c>
      <c r="E551" s="8">
        <v>145741</v>
      </c>
      <c r="F551" s="8">
        <v>145638</v>
      </c>
      <c r="G551" s="8">
        <v>146294</v>
      </c>
      <c r="H551" s="8">
        <v>147444</v>
      </c>
    </row>
    <row r="552" spans="1:8" x14ac:dyDescent="0.3">
      <c r="A552" s="7">
        <v>10005</v>
      </c>
      <c r="B552" s="7" t="s">
        <v>47</v>
      </c>
      <c r="C552" s="7" t="s">
        <v>617</v>
      </c>
      <c r="D552" s="8">
        <v>238654</v>
      </c>
      <c r="E552" s="8">
        <v>247877</v>
      </c>
      <c r="F552" s="8">
        <v>256490</v>
      </c>
      <c r="G552" s="8">
        <v>263975</v>
      </c>
      <c r="H552" s="8">
        <v>271134</v>
      </c>
    </row>
    <row r="553" spans="1:8" x14ac:dyDescent="0.3">
      <c r="A553" s="7">
        <v>22105</v>
      </c>
      <c r="B553" s="7" t="s">
        <v>24</v>
      </c>
      <c r="C553" s="7" t="s">
        <v>459</v>
      </c>
      <c r="D553" s="8">
        <v>133642</v>
      </c>
      <c r="E553" s="8">
        <v>135487</v>
      </c>
      <c r="F553" s="8">
        <v>136734</v>
      </c>
      <c r="G553" s="8">
        <v>137999</v>
      </c>
      <c r="H553" s="8">
        <v>139823</v>
      </c>
    </row>
    <row r="554" spans="1:8" x14ac:dyDescent="0.3">
      <c r="A554" s="7">
        <v>48439</v>
      </c>
      <c r="B554" s="7" t="s">
        <v>604</v>
      </c>
      <c r="C554" s="7" t="s">
        <v>631</v>
      </c>
      <c r="D554" s="8">
        <v>2116297</v>
      </c>
      <c r="E554" s="8">
        <v>2130359</v>
      </c>
      <c r="F554" s="8">
        <v>2161670</v>
      </c>
      <c r="G554" s="8">
        <v>2197915</v>
      </c>
      <c r="H554" s="8">
        <v>2230708</v>
      </c>
    </row>
    <row r="555" spans="1:8" x14ac:dyDescent="0.3">
      <c r="A555" s="7">
        <v>48441</v>
      </c>
      <c r="B555" s="7" t="s">
        <v>604</v>
      </c>
      <c r="C555" s="7" t="s">
        <v>641</v>
      </c>
      <c r="D555" s="8">
        <v>143493</v>
      </c>
      <c r="E555" s="8">
        <v>143909</v>
      </c>
      <c r="F555" s="8">
        <v>145481</v>
      </c>
      <c r="G555" s="8">
        <v>147618</v>
      </c>
      <c r="H555" s="8">
        <v>148813</v>
      </c>
    </row>
    <row r="556" spans="1:8" x14ac:dyDescent="0.3">
      <c r="A556" s="7">
        <v>17179</v>
      </c>
      <c r="B556" s="7" t="s">
        <v>262</v>
      </c>
      <c r="C556" s="7" t="s">
        <v>786</v>
      </c>
      <c r="D556" s="8">
        <v>131296</v>
      </c>
      <c r="E556" s="8">
        <v>130640</v>
      </c>
      <c r="F556" s="8">
        <v>129859</v>
      </c>
      <c r="G556" s="8">
        <v>129835</v>
      </c>
      <c r="H556" s="8">
        <v>129821</v>
      </c>
    </row>
    <row r="557" spans="1:8" x14ac:dyDescent="0.3">
      <c r="A557" s="7">
        <v>22109</v>
      </c>
      <c r="B557" s="7" t="s">
        <v>24</v>
      </c>
      <c r="C557" s="7" t="s">
        <v>258</v>
      </c>
      <c r="D557" s="8">
        <v>109413</v>
      </c>
      <c r="E557" s="8">
        <v>108973</v>
      </c>
      <c r="F557" s="8">
        <v>104642</v>
      </c>
      <c r="G557" s="8">
        <v>104036</v>
      </c>
      <c r="H557" s="8">
        <v>103864</v>
      </c>
    </row>
    <row r="558" spans="1:8" x14ac:dyDescent="0.3">
      <c r="A558" s="10">
        <v>53067</v>
      </c>
      <c r="B558" s="10" t="s">
        <v>13</v>
      </c>
      <c r="C558" s="10" t="s">
        <v>39</v>
      </c>
      <c r="D558" s="11">
        <v>296018</v>
      </c>
      <c r="E558" s="11">
        <v>298241</v>
      </c>
      <c r="F558" s="11">
        <v>298645</v>
      </c>
      <c r="G558" s="11">
        <v>299519</v>
      </c>
      <c r="H558" s="11">
        <v>302912</v>
      </c>
    </row>
    <row r="559" spans="1:8" x14ac:dyDescent="0.3">
      <c r="A559" s="7">
        <v>18157</v>
      </c>
      <c r="B559" s="7" t="s">
        <v>35</v>
      </c>
      <c r="C559" s="7" t="s">
        <v>844</v>
      </c>
      <c r="D559" s="8">
        <v>186391</v>
      </c>
      <c r="E559" s="8">
        <v>187428</v>
      </c>
      <c r="F559" s="8">
        <v>189402</v>
      </c>
      <c r="G559" s="8">
        <v>190482</v>
      </c>
      <c r="H559" s="8">
        <v>191650</v>
      </c>
    </row>
    <row r="560" spans="1:8" x14ac:dyDescent="0.3">
      <c r="A560" s="7">
        <v>48451</v>
      </c>
      <c r="B560" s="7" t="s">
        <v>604</v>
      </c>
      <c r="C560" s="7" t="s">
        <v>977</v>
      </c>
      <c r="D560" s="8">
        <v>120201</v>
      </c>
      <c r="E560" s="8">
        <v>119242</v>
      </c>
      <c r="F560" s="8">
        <v>119006</v>
      </c>
      <c r="G560" s="8">
        <v>119334</v>
      </c>
      <c r="H560" s="8">
        <v>120103</v>
      </c>
    </row>
    <row r="561" spans="1:8" x14ac:dyDescent="0.3">
      <c r="A561" s="7">
        <v>36109</v>
      </c>
      <c r="B561" s="7" t="s">
        <v>32</v>
      </c>
      <c r="C561" s="7" t="s">
        <v>978</v>
      </c>
      <c r="D561" s="8">
        <v>99778</v>
      </c>
      <c r="E561" s="8">
        <v>105974</v>
      </c>
      <c r="F561" s="8">
        <v>105827</v>
      </c>
      <c r="G561" s="8">
        <v>105505</v>
      </c>
      <c r="H561" s="8">
        <v>105602</v>
      </c>
    </row>
    <row r="562" spans="1:8" x14ac:dyDescent="0.3">
      <c r="A562" s="7">
        <v>48453</v>
      </c>
      <c r="B562" s="7" t="s">
        <v>604</v>
      </c>
      <c r="C562" s="7" t="s">
        <v>684</v>
      </c>
      <c r="D562" s="8">
        <v>1296610</v>
      </c>
      <c r="E562" s="8">
        <v>1309113</v>
      </c>
      <c r="F562" s="8">
        <v>1332544</v>
      </c>
      <c r="G562" s="8">
        <v>1348043</v>
      </c>
      <c r="H562" s="8">
        <v>1363767</v>
      </c>
    </row>
    <row r="563" spans="1:8" x14ac:dyDescent="0.3">
      <c r="A563" s="7">
        <v>39155</v>
      </c>
      <c r="B563" s="7" t="s">
        <v>447</v>
      </c>
      <c r="C563" s="7" t="s">
        <v>446</v>
      </c>
      <c r="D563" s="8">
        <v>201682</v>
      </c>
      <c r="E563" s="8">
        <v>201594</v>
      </c>
      <c r="F563" s="8">
        <v>200716</v>
      </c>
      <c r="G563" s="8">
        <v>200354</v>
      </c>
      <c r="H563" s="8">
        <v>200300</v>
      </c>
    </row>
    <row r="564" spans="1:8" x14ac:dyDescent="0.3">
      <c r="A564" s="7">
        <v>6107</v>
      </c>
      <c r="B564" s="7" t="s">
        <v>15</v>
      </c>
      <c r="C564" s="7" t="s">
        <v>682</v>
      </c>
      <c r="D564" s="8">
        <v>473944</v>
      </c>
      <c r="E564" s="8">
        <v>476939</v>
      </c>
      <c r="F564" s="8">
        <v>478288</v>
      </c>
      <c r="G564" s="8">
        <v>480747</v>
      </c>
      <c r="H564" s="8">
        <v>483546</v>
      </c>
    </row>
    <row r="565" spans="1:8" x14ac:dyDescent="0.3">
      <c r="A565" s="7">
        <v>40143</v>
      </c>
      <c r="B565" s="7" t="s">
        <v>490</v>
      </c>
      <c r="C565" s="7" t="s">
        <v>979</v>
      </c>
      <c r="D565" s="8">
        <v>670708</v>
      </c>
      <c r="E565" s="8">
        <v>674123</v>
      </c>
      <c r="F565" s="8">
        <v>679212</v>
      </c>
      <c r="G565" s="8">
        <v>686411</v>
      </c>
      <c r="H565" s="8">
        <v>693514</v>
      </c>
    </row>
    <row r="566" spans="1:8" x14ac:dyDescent="0.3">
      <c r="A566" s="7">
        <v>1125</v>
      </c>
      <c r="B566" s="7" t="s">
        <v>463</v>
      </c>
      <c r="C566" s="7" t="s">
        <v>861</v>
      </c>
      <c r="D566" s="8">
        <v>232651</v>
      </c>
      <c r="E566" s="8">
        <v>236699</v>
      </c>
      <c r="F566" s="8">
        <v>237995</v>
      </c>
      <c r="G566" s="8">
        <v>239204</v>
      </c>
      <c r="H566" s="8">
        <v>241212</v>
      </c>
    </row>
    <row r="567" spans="1:8" x14ac:dyDescent="0.3">
      <c r="A567" s="7">
        <v>36111</v>
      </c>
      <c r="B567" s="7" t="s">
        <v>32</v>
      </c>
      <c r="C567" s="7" t="s">
        <v>784</v>
      </c>
      <c r="D567" s="8">
        <v>181277</v>
      </c>
      <c r="E567" s="8">
        <v>183487</v>
      </c>
      <c r="F567" s="8">
        <v>182357</v>
      </c>
      <c r="G567" s="8">
        <v>182906</v>
      </c>
      <c r="H567" s="8">
        <v>182977</v>
      </c>
    </row>
    <row r="568" spans="1:8" x14ac:dyDescent="0.3">
      <c r="A568" s="7">
        <v>34039</v>
      </c>
      <c r="B568" s="7" t="s">
        <v>237</v>
      </c>
      <c r="C568" s="7" t="s">
        <v>725</v>
      </c>
      <c r="D568" s="8">
        <v>573680</v>
      </c>
      <c r="E568" s="8">
        <v>572930</v>
      </c>
      <c r="F568" s="8">
        <v>573600</v>
      </c>
      <c r="G568" s="8">
        <v>582080</v>
      </c>
      <c r="H568" s="8">
        <v>594160</v>
      </c>
    </row>
    <row r="569" spans="1:8" x14ac:dyDescent="0.3">
      <c r="A569" s="7">
        <v>37179</v>
      </c>
      <c r="B569" s="7" t="s">
        <v>467</v>
      </c>
      <c r="C569" s="7" t="s">
        <v>725</v>
      </c>
      <c r="D569" s="8">
        <v>239688</v>
      </c>
      <c r="E569" s="8">
        <v>244491</v>
      </c>
      <c r="F569" s="8">
        <v>249714</v>
      </c>
      <c r="G569" s="8">
        <v>257510</v>
      </c>
      <c r="H569" s="8">
        <v>263386</v>
      </c>
    </row>
    <row r="570" spans="1:8" x14ac:dyDescent="0.3">
      <c r="A570" s="7">
        <v>49049</v>
      </c>
      <c r="B570" s="7" t="s">
        <v>572</v>
      </c>
      <c r="C570" s="7" t="s">
        <v>818</v>
      </c>
      <c r="D570" s="8">
        <v>663606</v>
      </c>
      <c r="E570" s="8">
        <v>686038</v>
      </c>
      <c r="F570" s="8">
        <v>704764</v>
      </c>
      <c r="G570" s="8">
        <v>725359</v>
      </c>
      <c r="H570" s="8">
        <v>747234</v>
      </c>
    </row>
    <row r="571" spans="1:8" x14ac:dyDescent="0.3">
      <c r="A571" s="7">
        <v>18163</v>
      </c>
      <c r="B571" s="7" t="s">
        <v>35</v>
      </c>
      <c r="C571" s="7" t="s">
        <v>655</v>
      </c>
      <c r="D571" s="8">
        <v>180345</v>
      </c>
      <c r="E571" s="8">
        <v>180188</v>
      </c>
      <c r="F571" s="8">
        <v>179725</v>
      </c>
      <c r="G571" s="8">
        <v>179942</v>
      </c>
      <c r="H571" s="8">
        <v>180387</v>
      </c>
    </row>
    <row r="572" spans="1:8" x14ac:dyDescent="0.3">
      <c r="A572" s="7">
        <v>6111</v>
      </c>
      <c r="B572" s="7" t="s">
        <v>15</v>
      </c>
      <c r="C572" s="7" t="s">
        <v>592</v>
      </c>
      <c r="D572" s="8">
        <v>843808</v>
      </c>
      <c r="E572" s="8">
        <v>840009</v>
      </c>
      <c r="F572" s="8">
        <v>835032</v>
      </c>
      <c r="G572" s="8">
        <v>833071</v>
      </c>
      <c r="H572" s="8">
        <v>835427</v>
      </c>
    </row>
    <row r="573" spans="1:8" x14ac:dyDescent="0.3">
      <c r="A573" s="7">
        <v>18167</v>
      </c>
      <c r="B573" s="7" t="s">
        <v>35</v>
      </c>
      <c r="C573" s="7" t="s">
        <v>563</v>
      </c>
      <c r="D573" s="8">
        <v>106133</v>
      </c>
      <c r="E573" s="8">
        <v>106127</v>
      </c>
      <c r="F573" s="8">
        <v>106066</v>
      </c>
      <c r="G573" s="8">
        <v>106053</v>
      </c>
      <c r="H573" s="8">
        <v>106166</v>
      </c>
    </row>
    <row r="574" spans="1:8" x14ac:dyDescent="0.3">
      <c r="A574" s="7">
        <v>51810</v>
      </c>
      <c r="B574" s="7" t="s">
        <v>239</v>
      </c>
      <c r="C574" s="7" t="s">
        <v>791</v>
      </c>
      <c r="D574" s="8">
        <v>459673</v>
      </c>
      <c r="E574" s="8">
        <v>458599</v>
      </c>
      <c r="F574" s="8">
        <v>454886</v>
      </c>
      <c r="G574" s="8">
        <v>453779</v>
      </c>
      <c r="H574" s="8">
        <v>454808</v>
      </c>
    </row>
    <row r="575" spans="1:8" x14ac:dyDescent="0.3">
      <c r="A575" s="7">
        <v>12127</v>
      </c>
      <c r="B575" s="7" t="s">
        <v>50</v>
      </c>
      <c r="C575" s="7" t="s">
        <v>595</v>
      </c>
      <c r="D575" s="8">
        <v>555752</v>
      </c>
      <c r="E575" s="8">
        <v>566481</v>
      </c>
      <c r="F575" s="8">
        <v>580481</v>
      </c>
      <c r="G575" s="8">
        <v>592622</v>
      </c>
      <c r="H575" s="8">
        <v>602772</v>
      </c>
    </row>
    <row r="576" spans="1:8" x14ac:dyDescent="0.3">
      <c r="A576" s="7">
        <v>37183</v>
      </c>
      <c r="B576" s="7" t="s">
        <v>467</v>
      </c>
      <c r="C576" s="7" t="s">
        <v>876</v>
      </c>
      <c r="D576" s="8">
        <v>1130694</v>
      </c>
      <c r="E576" s="8">
        <v>1152626</v>
      </c>
      <c r="F576" s="8">
        <v>1174107</v>
      </c>
      <c r="G576" s="8">
        <v>1203394</v>
      </c>
      <c r="H576" s="8">
        <v>1232444</v>
      </c>
    </row>
    <row r="577" spans="1:8" x14ac:dyDescent="0.3">
      <c r="A577" s="7">
        <v>13297</v>
      </c>
      <c r="B577" s="7" t="s">
        <v>469</v>
      </c>
      <c r="C577" s="7" t="s">
        <v>777</v>
      </c>
      <c r="D577" s="8">
        <v>97136</v>
      </c>
      <c r="E577" s="8">
        <v>99804</v>
      </c>
      <c r="F577" s="8">
        <v>103056</v>
      </c>
      <c r="G577" s="8">
        <v>106778</v>
      </c>
      <c r="H577" s="8">
        <v>109792</v>
      </c>
    </row>
    <row r="578" spans="1:8" x14ac:dyDescent="0.3">
      <c r="A578" s="7">
        <v>55127</v>
      </c>
      <c r="B578" s="7" t="s">
        <v>38</v>
      </c>
      <c r="C578" s="7" t="s">
        <v>846</v>
      </c>
      <c r="D578" s="8">
        <v>105310</v>
      </c>
      <c r="E578" s="8">
        <v>105231</v>
      </c>
      <c r="F578" s="8">
        <v>105705</v>
      </c>
      <c r="G578" s="8">
        <v>106008</v>
      </c>
      <c r="H578" s="8">
        <v>106029</v>
      </c>
    </row>
    <row r="579" spans="1:8" x14ac:dyDescent="0.3">
      <c r="A579" s="7">
        <v>34041</v>
      </c>
      <c r="B579" s="7" t="s">
        <v>237</v>
      </c>
      <c r="C579" s="7" t="s">
        <v>778</v>
      </c>
      <c r="D579" s="8">
        <v>109520</v>
      </c>
      <c r="E579" s="8">
        <v>110464</v>
      </c>
      <c r="F579" s="8">
        <v>110885</v>
      </c>
      <c r="G579" s="8">
        <v>111344</v>
      </c>
      <c r="H579" s="8">
        <v>112031</v>
      </c>
    </row>
    <row r="580" spans="1:8" x14ac:dyDescent="0.3">
      <c r="A580" s="7">
        <v>21227</v>
      </c>
      <c r="B580" s="7" t="s">
        <v>41</v>
      </c>
      <c r="C580" s="7" t="s">
        <v>778</v>
      </c>
      <c r="D580" s="8">
        <v>135033</v>
      </c>
      <c r="E580" s="8">
        <v>137191</v>
      </c>
      <c r="F580" s="8">
        <v>140503</v>
      </c>
      <c r="G580" s="8">
        <v>143929</v>
      </c>
      <c r="H580" s="8">
        <v>147936</v>
      </c>
    </row>
    <row r="581" spans="1:8" x14ac:dyDescent="0.3">
      <c r="A581" s="7">
        <v>39165</v>
      </c>
      <c r="B581" s="7" t="s">
        <v>447</v>
      </c>
      <c r="C581" s="7" t="s">
        <v>778</v>
      </c>
      <c r="D581" s="8">
        <v>243236</v>
      </c>
      <c r="E581" s="8">
        <v>246868</v>
      </c>
      <c r="F581" s="8">
        <v>250298</v>
      </c>
      <c r="G581" s="8">
        <v>253579</v>
      </c>
      <c r="H581" s="8">
        <v>256059</v>
      </c>
    </row>
    <row r="582" spans="1:8" x14ac:dyDescent="0.3">
      <c r="A582" s="7">
        <v>27163</v>
      </c>
      <c r="B582" s="7" t="s">
        <v>475</v>
      </c>
      <c r="C582" s="7" t="s">
        <v>464</v>
      </c>
      <c r="D582" s="8">
        <v>268400</v>
      </c>
      <c r="E582" s="8">
        <v>272904</v>
      </c>
      <c r="F582" s="8">
        <v>276530</v>
      </c>
      <c r="G582" s="8">
        <v>279398</v>
      </c>
      <c r="H582" s="8">
        <v>283960</v>
      </c>
    </row>
    <row r="583" spans="1:8" x14ac:dyDescent="0.3">
      <c r="A583" s="7">
        <v>47179</v>
      </c>
      <c r="B583" s="7" t="s">
        <v>27</v>
      </c>
      <c r="C583" s="7" t="s">
        <v>464</v>
      </c>
      <c r="D583" s="8">
        <v>133225</v>
      </c>
      <c r="E583" s="8">
        <v>133473</v>
      </c>
      <c r="F583" s="8">
        <v>136339</v>
      </c>
      <c r="G583" s="8">
        <v>138628</v>
      </c>
      <c r="H583" s="8">
        <v>139642</v>
      </c>
    </row>
    <row r="584" spans="1:8" x14ac:dyDescent="0.3">
      <c r="A584" s="7">
        <v>44009</v>
      </c>
      <c r="B584" s="7" t="s">
        <v>543</v>
      </c>
      <c r="C584" s="7" t="s">
        <v>464</v>
      </c>
      <c r="D584" s="8">
        <v>129769</v>
      </c>
      <c r="E584" s="8">
        <v>130853</v>
      </c>
      <c r="F584" s="8">
        <v>130527</v>
      </c>
      <c r="G584" s="8">
        <v>130239</v>
      </c>
      <c r="H584" s="8">
        <v>130333</v>
      </c>
    </row>
    <row r="585" spans="1:8" x14ac:dyDescent="0.3">
      <c r="A585" s="7">
        <v>42125</v>
      </c>
      <c r="B585" s="7" t="s">
        <v>19</v>
      </c>
      <c r="C585" s="7" t="s">
        <v>464</v>
      </c>
      <c r="D585" s="8">
        <v>209414</v>
      </c>
      <c r="E585" s="8">
        <v>210057</v>
      </c>
      <c r="F585" s="8">
        <v>209962</v>
      </c>
      <c r="G585" s="8">
        <v>210344</v>
      </c>
      <c r="H585" s="8">
        <v>210434</v>
      </c>
    </row>
    <row r="586" spans="1:8" x14ac:dyDescent="0.3">
      <c r="A586" s="7">
        <v>41067</v>
      </c>
      <c r="B586" s="7" t="s">
        <v>21</v>
      </c>
      <c r="C586" s="7" t="s">
        <v>464</v>
      </c>
      <c r="D586" s="8">
        <v>601045</v>
      </c>
      <c r="E586" s="8">
        <v>602356</v>
      </c>
      <c r="F586" s="8">
        <v>600229</v>
      </c>
      <c r="G586" s="8">
        <v>604831</v>
      </c>
      <c r="H586" s="8">
        <v>611272</v>
      </c>
    </row>
    <row r="587" spans="1:8" x14ac:dyDescent="0.3">
      <c r="A587" s="7">
        <v>55131</v>
      </c>
      <c r="B587" s="7" t="s">
        <v>38</v>
      </c>
      <c r="C587" s="7" t="s">
        <v>464</v>
      </c>
      <c r="D587" s="8">
        <v>136811</v>
      </c>
      <c r="E587" s="8">
        <v>137361</v>
      </c>
      <c r="F587" s="8">
        <v>137999</v>
      </c>
      <c r="G587" s="8">
        <v>138496</v>
      </c>
      <c r="H587" s="8">
        <v>138727</v>
      </c>
    </row>
    <row r="588" spans="1:8" x14ac:dyDescent="0.3">
      <c r="A588" s="7">
        <v>24043</v>
      </c>
      <c r="B588" s="7" t="s">
        <v>11</v>
      </c>
      <c r="C588" s="7" t="s">
        <v>464</v>
      </c>
      <c r="D588" s="8">
        <v>154677</v>
      </c>
      <c r="E588" s="8">
        <v>155117</v>
      </c>
      <c r="F588" s="8">
        <v>155407</v>
      </c>
      <c r="G588" s="8">
        <v>156116</v>
      </c>
      <c r="H588" s="8">
        <v>157228</v>
      </c>
    </row>
    <row r="589" spans="1:8" x14ac:dyDescent="0.3">
      <c r="A589" s="7">
        <v>49053</v>
      </c>
      <c r="B589" s="7" t="s">
        <v>572</v>
      </c>
      <c r="C589" s="7" t="s">
        <v>464</v>
      </c>
      <c r="D589" s="8">
        <v>182029</v>
      </c>
      <c r="E589" s="8">
        <v>191552</v>
      </c>
      <c r="F589" s="8">
        <v>197898</v>
      </c>
      <c r="G589" s="8">
        <v>202735</v>
      </c>
      <c r="H589" s="8">
        <v>207943</v>
      </c>
    </row>
    <row r="590" spans="1:8" x14ac:dyDescent="0.3">
      <c r="A590" s="7">
        <v>5143</v>
      </c>
      <c r="B590" s="7" t="s">
        <v>588</v>
      </c>
      <c r="C590" s="7" t="s">
        <v>464</v>
      </c>
      <c r="D590" s="8">
        <v>246779</v>
      </c>
      <c r="E590" s="8">
        <v>251664</v>
      </c>
      <c r="F590" s="8">
        <v>257316</v>
      </c>
      <c r="G590" s="8">
        <v>261880</v>
      </c>
      <c r="H590" s="8">
        <v>266184</v>
      </c>
    </row>
    <row r="591" spans="1:8" x14ac:dyDescent="0.3">
      <c r="A591" s="7">
        <v>32031</v>
      </c>
      <c r="B591" s="7" t="s">
        <v>45</v>
      </c>
      <c r="C591" s="7" t="s">
        <v>44</v>
      </c>
      <c r="D591" s="8">
        <v>487725</v>
      </c>
      <c r="E591" s="8">
        <v>494380</v>
      </c>
      <c r="F591" s="8">
        <v>496458</v>
      </c>
      <c r="G591" s="8">
        <v>500159</v>
      </c>
      <c r="H591" s="8">
        <v>507280</v>
      </c>
    </row>
    <row r="592" spans="1:8" x14ac:dyDescent="0.3">
      <c r="A592" s="7">
        <v>26161</v>
      </c>
      <c r="B592" s="7" t="s">
        <v>480</v>
      </c>
      <c r="C592" s="7" t="s">
        <v>832</v>
      </c>
      <c r="D592" s="8">
        <v>371849</v>
      </c>
      <c r="E592" s="8">
        <v>365041</v>
      </c>
      <c r="F592" s="8">
        <v>367947</v>
      </c>
      <c r="G592" s="8">
        <v>370398</v>
      </c>
      <c r="H592" s="8">
        <v>373875</v>
      </c>
    </row>
    <row r="593" spans="1:8" x14ac:dyDescent="0.3">
      <c r="A593" s="7">
        <v>55133</v>
      </c>
      <c r="B593" s="7" t="s">
        <v>38</v>
      </c>
      <c r="C593" s="7" t="s">
        <v>874</v>
      </c>
      <c r="D593" s="8">
        <v>407518</v>
      </c>
      <c r="E593" s="8">
        <v>409191</v>
      </c>
      <c r="F593" s="8">
        <v>411061</v>
      </c>
      <c r="G593" s="8">
        <v>414013</v>
      </c>
      <c r="H593" s="8">
        <v>417029</v>
      </c>
    </row>
    <row r="594" spans="1:8" x14ac:dyDescent="0.3">
      <c r="A594" s="7">
        <v>39169</v>
      </c>
      <c r="B594" s="7" t="s">
        <v>447</v>
      </c>
      <c r="C594" s="7" t="s">
        <v>516</v>
      </c>
      <c r="D594" s="8">
        <v>116903</v>
      </c>
      <c r="E594" s="8">
        <v>116160</v>
      </c>
      <c r="F594" s="8">
        <v>116609</v>
      </c>
      <c r="G594" s="8">
        <v>116635</v>
      </c>
      <c r="H594" s="8">
        <v>116632</v>
      </c>
    </row>
    <row r="595" spans="1:8" x14ac:dyDescent="0.3">
      <c r="A595" s="7">
        <v>37191</v>
      </c>
      <c r="B595" s="7" t="s">
        <v>467</v>
      </c>
      <c r="C595" s="7" t="s">
        <v>516</v>
      </c>
      <c r="D595" s="8">
        <v>117772</v>
      </c>
      <c r="E595" s="8">
        <v>117395</v>
      </c>
      <c r="F595" s="8">
        <v>118185</v>
      </c>
      <c r="G595" s="8">
        <v>119570</v>
      </c>
      <c r="H595" s="8">
        <v>120338</v>
      </c>
    </row>
    <row r="596" spans="1:8" x14ac:dyDescent="0.3">
      <c r="A596" s="7">
        <v>26163</v>
      </c>
      <c r="B596" s="7" t="s">
        <v>480</v>
      </c>
      <c r="C596" s="7" t="s">
        <v>516</v>
      </c>
      <c r="D596" s="8">
        <v>1789655</v>
      </c>
      <c r="E596" s="8">
        <v>1775196</v>
      </c>
      <c r="F596" s="8">
        <v>1763011</v>
      </c>
      <c r="G596" s="8">
        <v>1762371</v>
      </c>
      <c r="H596" s="8">
        <v>1771063</v>
      </c>
    </row>
    <row r="597" spans="1:8" x14ac:dyDescent="0.3">
      <c r="A597" s="7">
        <v>48479</v>
      </c>
      <c r="B597" s="7" t="s">
        <v>604</v>
      </c>
      <c r="C597" s="7" t="s">
        <v>894</v>
      </c>
      <c r="D597" s="8">
        <v>267368</v>
      </c>
      <c r="E597" s="8">
        <v>267465</v>
      </c>
      <c r="F597" s="8">
        <v>268276</v>
      </c>
      <c r="G597" s="8">
        <v>270538</v>
      </c>
      <c r="H597" s="8">
        <v>272823</v>
      </c>
    </row>
    <row r="598" spans="1:8" x14ac:dyDescent="0.3">
      <c r="A598" s="7">
        <v>49057</v>
      </c>
      <c r="B598" s="7" t="s">
        <v>572</v>
      </c>
      <c r="C598" s="7" t="s">
        <v>580</v>
      </c>
      <c r="D598" s="8">
        <v>263001</v>
      </c>
      <c r="E598" s="8">
        <v>266613</v>
      </c>
      <c r="F598" s="8">
        <v>269823</v>
      </c>
      <c r="G598" s="8">
        <v>272686</v>
      </c>
      <c r="H598" s="8">
        <v>276118</v>
      </c>
    </row>
    <row r="599" spans="1:8" x14ac:dyDescent="0.3">
      <c r="A599" s="7">
        <v>8123</v>
      </c>
      <c r="B599" s="7" t="s">
        <v>17</v>
      </c>
      <c r="C599" s="7" t="s">
        <v>668</v>
      </c>
      <c r="D599" s="8">
        <v>331467</v>
      </c>
      <c r="E599" s="8">
        <v>339942</v>
      </c>
      <c r="F599" s="8">
        <v>350610</v>
      </c>
      <c r="G599" s="8">
        <v>360216</v>
      </c>
      <c r="H599" s="8">
        <v>369745</v>
      </c>
    </row>
    <row r="600" spans="1:8" x14ac:dyDescent="0.3">
      <c r="A600" s="7">
        <v>36119</v>
      </c>
      <c r="B600" s="7" t="s">
        <v>32</v>
      </c>
      <c r="C600" s="7" t="s">
        <v>854</v>
      </c>
      <c r="D600" s="8">
        <v>1001489</v>
      </c>
      <c r="E600" s="8">
        <v>1000036</v>
      </c>
      <c r="F600" s="8">
        <v>993488</v>
      </c>
      <c r="G600" s="8">
        <v>996926</v>
      </c>
      <c r="H600" s="8">
        <v>1006447</v>
      </c>
    </row>
    <row r="601" spans="1:8" x14ac:dyDescent="0.3">
      <c r="A601" s="7">
        <v>9190</v>
      </c>
      <c r="B601" s="7" t="s">
        <v>907</v>
      </c>
      <c r="C601" s="7" t="s">
        <v>980</v>
      </c>
      <c r="D601" s="8">
        <v>618762</v>
      </c>
      <c r="E601" s="8">
        <v>623927</v>
      </c>
      <c r="F601" s="8">
        <v>625454</v>
      </c>
      <c r="G601" s="8">
        <v>630201</v>
      </c>
      <c r="H601" s="8">
        <v>637013</v>
      </c>
    </row>
    <row r="602" spans="1:8" x14ac:dyDescent="0.3">
      <c r="A602" s="7">
        <v>42129</v>
      </c>
      <c r="B602" s="7" t="s">
        <v>19</v>
      </c>
      <c r="C602" s="7" t="s">
        <v>511</v>
      </c>
      <c r="D602" s="8">
        <v>354339</v>
      </c>
      <c r="E602" s="8">
        <v>353753</v>
      </c>
      <c r="F602" s="8">
        <v>352054</v>
      </c>
      <c r="G602" s="8">
        <v>351420</v>
      </c>
      <c r="H602" s="8">
        <v>350935</v>
      </c>
    </row>
    <row r="603" spans="1:8" x14ac:dyDescent="0.3">
      <c r="A603" s="10">
        <v>53073</v>
      </c>
      <c r="B603" s="10" t="s">
        <v>13</v>
      </c>
      <c r="C603" s="10" t="s">
        <v>269</v>
      </c>
      <c r="D603" s="11">
        <v>227451</v>
      </c>
      <c r="E603" s="11">
        <v>226725</v>
      </c>
      <c r="F603" s="11">
        <v>230701</v>
      </c>
      <c r="G603" s="11">
        <v>232686</v>
      </c>
      <c r="H603" s="11">
        <v>234954</v>
      </c>
    </row>
    <row r="604" spans="1:8" x14ac:dyDescent="0.3">
      <c r="A604" s="7">
        <v>13313</v>
      </c>
      <c r="B604" s="7" t="s">
        <v>469</v>
      </c>
      <c r="C604" s="7" t="s">
        <v>804</v>
      </c>
      <c r="D604" s="8">
        <v>102794</v>
      </c>
      <c r="E604" s="8">
        <v>102729</v>
      </c>
      <c r="F604" s="8">
        <v>103252</v>
      </c>
      <c r="G604" s="8">
        <v>104147</v>
      </c>
      <c r="H604" s="8">
        <v>105070</v>
      </c>
    </row>
    <row r="605" spans="1:8" x14ac:dyDescent="0.3">
      <c r="A605" s="7">
        <v>48485</v>
      </c>
      <c r="B605" s="7" t="s">
        <v>604</v>
      </c>
      <c r="C605" s="7" t="s">
        <v>678</v>
      </c>
      <c r="D605" s="8">
        <v>129624</v>
      </c>
      <c r="E605" s="8">
        <v>130105</v>
      </c>
      <c r="F605" s="8">
        <v>130166</v>
      </c>
      <c r="G605" s="8">
        <v>130102</v>
      </c>
      <c r="H605" s="8">
        <v>129984</v>
      </c>
    </row>
    <row r="606" spans="1:8" x14ac:dyDescent="0.3">
      <c r="A606" s="7">
        <v>24045</v>
      </c>
      <c r="B606" s="7" t="s">
        <v>11</v>
      </c>
      <c r="C606" s="7" t="s">
        <v>583</v>
      </c>
      <c r="D606" s="8">
        <v>103563</v>
      </c>
      <c r="E606" s="8">
        <v>104110</v>
      </c>
      <c r="F606" s="8">
        <v>104985</v>
      </c>
      <c r="G606" s="8">
        <v>105585</v>
      </c>
      <c r="H606" s="8">
        <v>106329</v>
      </c>
    </row>
    <row r="607" spans="1:8" x14ac:dyDescent="0.3">
      <c r="A607" s="7">
        <v>17197</v>
      </c>
      <c r="B607" s="7" t="s">
        <v>262</v>
      </c>
      <c r="C607" s="7" t="s">
        <v>841</v>
      </c>
      <c r="D607" s="8">
        <v>696909</v>
      </c>
      <c r="E607" s="8">
        <v>699327</v>
      </c>
      <c r="F607" s="8">
        <v>699110</v>
      </c>
      <c r="G607" s="8">
        <v>703383</v>
      </c>
      <c r="H607" s="8">
        <v>708583</v>
      </c>
    </row>
    <row r="608" spans="1:8" x14ac:dyDescent="0.3">
      <c r="A608" s="7">
        <v>48491</v>
      </c>
      <c r="B608" s="7" t="s">
        <v>604</v>
      </c>
      <c r="C608" s="7" t="s">
        <v>851</v>
      </c>
      <c r="D608" s="8">
        <v>615631</v>
      </c>
      <c r="E608" s="8">
        <v>644740</v>
      </c>
      <c r="F608" s="8">
        <v>673951</v>
      </c>
      <c r="G608" s="8">
        <v>701640</v>
      </c>
      <c r="H608" s="8">
        <v>727480</v>
      </c>
    </row>
    <row r="609" spans="1:8" x14ac:dyDescent="0.3">
      <c r="A609" s="7">
        <v>47187</v>
      </c>
      <c r="B609" s="7" t="s">
        <v>27</v>
      </c>
      <c r="C609" s="7" t="s">
        <v>851</v>
      </c>
      <c r="D609" s="8">
        <v>249616</v>
      </c>
      <c r="E609" s="8">
        <v>256155</v>
      </c>
      <c r="F609" s="8">
        <v>261536</v>
      </c>
      <c r="G609" s="8">
        <v>265312</v>
      </c>
      <c r="H609" s="8">
        <v>269136</v>
      </c>
    </row>
    <row r="610" spans="1:8" x14ac:dyDescent="0.3">
      <c r="A610" s="7">
        <v>47189</v>
      </c>
      <c r="B610" s="7" t="s">
        <v>27</v>
      </c>
      <c r="C610" s="7" t="s">
        <v>619</v>
      </c>
      <c r="D610" s="8">
        <v>148651</v>
      </c>
      <c r="E610" s="8">
        <v>152044</v>
      </c>
      <c r="F610" s="8">
        <v>159029</v>
      </c>
      <c r="G610" s="8">
        <v>164352</v>
      </c>
      <c r="H610" s="8">
        <v>169948</v>
      </c>
    </row>
    <row r="611" spans="1:8" x14ac:dyDescent="0.3">
      <c r="A611" s="7">
        <v>17201</v>
      </c>
      <c r="B611" s="7" t="s">
        <v>262</v>
      </c>
      <c r="C611" s="7" t="s">
        <v>637</v>
      </c>
      <c r="D611" s="8">
        <v>284963</v>
      </c>
      <c r="E611" s="8">
        <v>283413</v>
      </c>
      <c r="F611" s="8">
        <v>282081</v>
      </c>
      <c r="G611" s="8">
        <v>282214</v>
      </c>
      <c r="H611" s="8">
        <v>283790</v>
      </c>
    </row>
    <row r="612" spans="1:8" x14ac:dyDescent="0.3">
      <c r="A612" s="7">
        <v>55139</v>
      </c>
      <c r="B612" s="7" t="s">
        <v>38</v>
      </c>
      <c r="C612" s="7" t="s">
        <v>637</v>
      </c>
      <c r="D612" s="8">
        <v>171796</v>
      </c>
      <c r="E612" s="8">
        <v>170590</v>
      </c>
      <c r="F612" s="8">
        <v>171049</v>
      </c>
      <c r="G612" s="8">
        <v>172105</v>
      </c>
      <c r="H612" s="8">
        <v>173307</v>
      </c>
    </row>
    <row r="613" spans="1:8" x14ac:dyDescent="0.3">
      <c r="A613" s="7">
        <v>39173</v>
      </c>
      <c r="B613" s="7" t="s">
        <v>447</v>
      </c>
      <c r="C613" s="7" t="s">
        <v>885</v>
      </c>
      <c r="D613" s="8">
        <v>132267</v>
      </c>
      <c r="E613" s="8">
        <v>130340</v>
      </c>
      <c r="F613" s="8">
        <v>131821</v>
      </c>
      <c r="G613" s="8">
        <v>132813</v>
      </c>
      <c r="H613" s="8">
        <v>133077</v>
      </c>
    </row>
    <row r="614" spans="1:8" x14ac:dyDescent="0.3">
      <c r="A614" s="7">
        <v>19193</v>
      </c>
      <c r="B614" s="7" t="s">
        <v>627</v>
      </c>
      <c r="C614" s="7" t="s">
        <v>660</v>
      </c>
      <c r="D614" s="8">
        <v>105952</v>
      </c>
      <c r="E614" s="8">
        <v>105801</v>
      </c>
      <c r="F614" s="8">
        <v>105674</v>
      </c>
      <c r="G614" s="8">
        <v>106544</v>
      </c>
      <c r="H614" s="8">
        <v>107257</v>
      </c>
    </row>
    <row r="615" spans="1:8" x14ac:dyDescent="0.3">
      <c r="A615" s="7">
        <v>25027</v>
      </c>
      <c r="B615" s="7" t="s">
        <v>453</v>
      </c>
      <c r="C615" s="7" t="s">
        <v>621</v>
      </c>
      <c r="D615" s="8">
        <v>857092</v>
      </c>
      <c r="E615" s="8">
        <v>862052</v>
      </c>
      <c r="F615" s="8">
        <v>865735</v>
      </c>
      <c r="G615" s="8">
        <v>872813</v>
      </c>
      <c r="H615" s="8">
        <v>881248</v>
      </c>
    </row>
    <row r="616" spans="1:8" x14ac:dyDescent="0.3">
      <c r="A616" s="7">
        <v>27171</v>
      </c>
      <c r="B616" s="7" t="s">
        <v>475</v>
      </c>
      <c r="C616" s="7" t="s">
        <v>981</v>
      </c>
      <c r="D616" s="8">
        <v>141875</v>
      </c>
      <c r="E616" s="8">
        <v>145209</v>
      </c>
      <c r="F616" s="8">
        <v>148218</v>
      </c>
      <c r="G616" s="8">
        <v>151452</v>
      </c>
      <c r="H616" s="8">
        <v>154593</v>
      </c>
    </row>
    <row r="617" spans="1:8" x14ac:dyDescent="0.3">
      <c r="A617" s="7">
        <v>20209</v>
      </c>
      <c r="B617" s="7" t="s">
        <v>267</v>
      </c>
      <c r="C617" s="7" t="s">
        <v>456</v>
      </c>
      <c r="D617" s="8">
        <v>168920</v>
      </c>
      <c r="E617" s="8">
        <v>167279</v>
      </c>
      <c r="F617" s="8">
        <v>165719</v>
      </c>
      <c r="G617" s="8">
        <v>166932</v>
      </c>
      <c r="H617" s="8">
        <v>169418</v>
      </c>
    </row>
    <row r="618" spans="1:8" x14ac:dyDescent="0.3">
      <c r="A618" s="10">
        <v>53077</v>
      </c>
      <c r="B618" s="10" t="s">
        <v>13</v>
      </c>
      <c r="C618" s="10" t="s">
        <v>234</v>
      </c>
      <c r="D618" s="11">
        <v>256736</v>
      </c>
      <c r="E618" s="11">
        <v>256743</v>
      </c>
      <c r="F618" s="11">
        <v>256566</v>
      </c>
      <c r="G618" s="11">
        <v>257193</v>
      </c>
      <c r="H618" s="11">
        <v>258523</v>
      </c>
    </row>
    <row r="619" spans="1:8" x14ac:dyDescent="0.3">
      <c r="A619" s="7">
        <v>41071</v>
      </c>
      <c r="B619" s="7" t="s">
        <v>21</v>
      </c>
      <c r="C619" s="7" t="s">
        <v>686</v>
      </c>
      <c r="D619" s="8">
        <v>107740</v>
      </c>
      <c r="E619" s="8">
        <v>108081</v>
      </c>
      <c r="F619" s="8">
        <v>107817</v>
      </c>
      <c r="G619" s="8">
        <v>109146</v>
      </c>
      <c r="H619" s="8">
        <v>110886</v>
      </c>
    </row>
    <row r="620" spans="1:8" x14ac:dyDescent="0.3">
      <c r="A620" s="7">
        <v>4025</v>
      </c>
      <c r="B620" s="7" t="s">
        <v>43</v>
      </c>
      <c r="C620" s="7" t="s">
        <v>517</v>
      </c>
      <c r="D620" s="8">
        <v>237228</v>
      </c>
      <c r="E620" s="8">
        <v>242392</v>
      </c>
      <c r="F620" s="8">
        <v>246266</v>
      </c>
      <c r="G620" s="8">
        <v>249499</v>
      </c>
      <c r="H620" s="8">
        <v>252013</v>
      </c>
    </row>
    <row r="621" spans="1:8" x14ac:dyDescent="0.3">
      <c r="A621" s="7">
        <v>30111</v>
      </c>
      <c r="B621" s="7" t="s">
        <v>623</v>
      </c>
      <c r="C621" s="7" t="s">
        <v>622</v>
      </c>
      <c r="D621" s="8">
        <v>165210</v>
      </c>
      <c r="E621" s="8">
        <v>167448</v>
      </c>
      <c r="F621" s="8">
        <v>169817</v>
      </c>
      <c r="G621" s="8">
        <v>170727</v>
      </c>
      <c r="H621" s="8">
        <v>171583</v>
      </c>
    </row>
    <row r="622" spans="1:8" x14ac:dyDescent="0.3">
      <c r="A622" s="7">
        <v>6113</v>
      </c>
      <c r="B622" s="7" t="s">
        <v>15</v>
      </c>
      <c r="C622" s="7" t="s">
        <v>676</v>
      </c>
      <c r="D622" s="8">
        <v>217768</v>
      </c>
      <c r="E622" s="8">
        <v>213545</v>
      </c>
      <c r="F622" s="8">
        <v>223338</v>
      </c>
      <c r="G622" s="8">
        <v>222919</v>
      </c>
      <c r="H622" s="8">
        <v>225251</v>
      </c>
    </row>
    <row r="623" spans="1:8" x14ac:dyDescent="0.3">
      <c r="A623" s="7">
        <v>42133</v>
      </c>
      <c r="B623" s="7" t="s">
        <v>19</v>
      </c>
      <c r="C623" s="7" t="s">
        <v>486</v>
      </c>
      <c r="D623" s="8">
        <v>456754</v>
      </c>
      <c r="E623" s="8">
        <v>459264</v>
      </c>
      <c r="F623" s="8">
        <v>461385</v>
      </c>
      <c r="G623" s="8">
        <v>465977</v>
      </c>
      <c r="H623" s="8">
        <v>471240</v>
      </c>
    </row>
    <row r="624" spans="1:8" x14ac:dyDescent="0.3">
      <c r="A624" s="7">
        <v>45091</v>
      </c>
      <c r="B624" s="7" t="s">
        <v>458</v>
      </c>
      <c r="C624" s="7" t="s">
        <v>486</v>
      </c>
      <c r="D624" s="8">
        <v>283862</v>
      </c>
      <c r="E624" s="8">
        <v>289071</v>
      </c>
      <c r="F624" s="8">
        <v>294057</v>
      </c>
      <c r="G624" s="8">
        <v>298375</v>
      </c>
      <c r="H624" s="8">
        <v>303001</v>
      </c>
    </row>
    <row r="625" spans="1:8" x14ac:dyDescent="0.3">
      <c r="A625" s="7">
        <v>23031</v>
      </c>
      <c r="B625" s="7" t="s">
        <v>455</v>
      </c>
      <c r="C625" s="7" t="s">
        <v>486</v>
      </c>
      <c r="D625" s="8">
        <v>212263</v>
      </c>
      <c r="E625" s="8">
        <v>215050</v>
      </c>
      <c r="F625" s="8">
        <v>217084</v>
      </c>
      <c r="G625" s="8">
        <v>219117</v>
      </c>
      <c r="H625" s="8">
        <v>220143</v>
      </c>
    </row>
    <row r="626" spans="1:8" x14ac:dyDescent="0.3">
      <c r="A626" s="7">
        <v>4027</v>
      </c>
      <c r="B626" s="7" t="s">
        <v>43</v>
      </c>
      <c r="C626" s="7" t="s">
        <v>677</v>
      </c>
      <c r="D626" s="8">
        <v>205665</v>
      </c>
      <c r="E626" s="8">
        <v>207743</v>
      </c>
      <c r="F626" s="8">
        <v>209538</v>
      </c>
      <c r="G626" s="8">
        <v>215448</v>
      </c>
      <c r="H626" s="8">
        <v>220310</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11"/>
  <sheetViews>
    <sheetView showGridLines="0" topLeftCell="F1" workbookViewId="0">
      <pane ySplit="5" topLeftCell="A6" activePane="bottomLeft" state="frozen"/>
      <selection pane="bottomLeft" activeCell="Y3" sqref="Y3"/>
    </sheetView>
  </sheetViews>
  <sheetFormatPr defaultRowHeight="14.4" x14ac:dyDescent="0.3"/>
  <cols>
    <col min="1" max="1" width="8" customWidth="1"/>
    <col min="2" max="2" width="30" customWidth="1"/>
    <col min="3" max="3" width="22" customWidth="1"/>
    <col min="4" max="4" width="16" customWidth="1"/>
    <col min="5" max="6" width="18" customWidth="1"/>
    <col min="7" max="7" width="14" customWidth="1"/>
  </cols>
  <sheetData>
    <row r="1" spans="1:7" ht="17.399999999999999" customHeight="1" x14ac:dyDescent="0.3">
      <c r="A1" s="1" t="s">
        <v>227</v>
      </c>
    </row>
    <row r="2" spans="1:7" x14ac:dyDescent="0.3">
      <c r="A2" s="2" t="s">
        <v>228</v>
      </c>
    </row>
    <row r="3" spans="1:7" x14ac:dyDescent="0.3">
      <c r="A3" s="2" t="s">
        <v>2</v>
      </c>
    </row>
    <row r="5" spans="1:7" ht="36" customHeight="1" x14ac:dyDescent="0.3">
      <c r="A5" s="6" t="s">
        <v>3</v>
      </c>
      <c r="B5" s="6" t="s">
        <v>4</v>
      </c>
      <c r="C5" s="6" t="s">
        <v>5</v>
      </c>
      <c r="D5" s="6" t="s">
        <v>6</v>
      </c>
      <c r="E5" s="6" t="s">
        <v>7</v>
      </c>
      <c r="F5" s="6" t="s">
        <v>8</v>
      </c>
      <c r="G5" s="6" t="s">
        <v>9</v>
      </c>
    </row>
    <row r="6" spans="1:7" x14ac:dyDescent="0.3">
      <c r="A6" s="16">
        <v>1</v>
      </c>
      <c r="B6" s="17" t="s">
        <v>10</v>
      </c>
      <c r="C6" s="17" t="s">
        <v>11</v>
      </c>
      <c r="D6" s="18">
        <f>'CDC Source Data'!D31</f>
        <v>568271</v>
      </c>
      <c r="E6" s="18">
        <f>'CDC Source Data'!E31</f>
        <v>498</v>
      </c>
      <c r="F6" s="19">
        <f t="shared" ref="F6:F30" si="0">E6/D6*100000</f>
        <v>87.634244928915962</v>
      </c>
      <c r="G6" s="20">
        <f>'CDC Source Data'!F31</f>
        <v>0.23</v>
      </c>
    </row>
    <row r="7" spans="1:7" x14ac:dyDescent="0.3">
      <c r="A7" s="16">
        <v>2</v>
      </c>
      <c r="B7" s="17" t="s">
        <v>229</v>
      </c>
      <c r="C7" s="17" t="s">
        <v>230</v>
      </c>
      <c r="D7" s="18">
        <f>'CDC Source Data'!D533</f>
        <v>279695</v>
      </c>
      <c r="E7" s="18">
        <f>'CDC Source Data'!E533</f>
        <v>180</v>
      </c>
      <c r="F7" s="19">
        <f t="shared" si="0"/>
        <v>64.355816156885169</v>
      </c>
      <c r="G7" s="20">
        <f>'CDC Source Data'!F533</f>
        <v>0</v>
      </c>
    </row>
    <row r="8" spans="1:7" x14ac:dyDescent="0.3">
      <c r="A8" s="16">
        <v>3</v>
      </c>
      <c r="B8" s="17" t="s">
        <v>231</v>
      </c>
      <c r="C8" s="17" t="s">
        <v>232</v>
      </c>
      <c r="D8" s="18">
        <f>'CDC Source Data'!D20</f>
        <v>289600</v>
      </c>
      <c r="E8" s="18">
        <f>'CDC Source Data'!E20</f>
        <v>184</v>
      </c>
      <c r="F8" s="19">
        <f t="shared" si="0"/>
        <v>63.535911602209943</v>
      </c>
      <c r="G8" s="20">
        <f>'CDC Source Data'!F20</f>
        <v>0</v>
      </c>
    </row>
    <row r="9" spans="1:7" x14ac:dyDescent="0.3">
      <c r="A9" s="16">
        <v>4</v>
      </c>
      <c r="B9" s="17" t="s">
        <v>233</v>
      </c>
      <c r="C9" s="17" t="s">
        <v>15</v>
      </c>
      <c r="D9" s="18">
        <f>'CDC Source Data'!D75</f>
        <v>208334</v>
      </c>
      <c r="E9" s="18">
        <f>'CDC Source Data'!E75</f>
        <v>127</v>
      </c>
      <c r="F9" s="19">
        <f t="shared" si="0"/>
        <v>60.959804928624237</v>
      </c>
      <c r="G9" s="20">
        <f>'CDC Source Data'!F75</f>
        <v>0.09</v>
      </c>
    </row>
    <row r="10" spans="1:7" x14ac:dyDescent="0.3">
      <c r="A10" s="21">
        <v>5</v>
      </c>
      <c r="B10" s="22" t="s">
        <v>12</v>
      </c>
      <c r="C10" s="22" t="s">
        <v>13</v>
      </c>
      <c r="D10" s="23">
        <f>'CDC Source Data'!D523</f>
        <v>555947</v>
      </c>
      <c r="E10" s="23">
        <f>'CDC Source Data'!E523</f>
        <v>322</v>
      </c>
      <c r="F10" s="24">
        <f t="shared" si="0"/>
        <v>57.919190138628331</v>
      </c>
      <c r="G10" s="25">
        <f>'CDC Source Data'!F523</f>
        <v>0.02</v>
      </c>
    </row>
    <row r="11" spans="1:7" x14ac:dyDescent="0.3">
      <c r="A11" s="16">
        <v>6</v>
      </c>
      <c r="B11" s="17" t="s">
        <v>14</v>
      </c>
      <c r="C11" s="17" t="s">
        <v>15</v>
      </c>
      <c r="D11" s="18">
        <f>'CDC Source Data'!D485</f>
        <v>827526</v>
      </c>
      <c r="E11" s="18">
        <f>'CDC Source Data'!E485</f>
        <v>473</v>
      </c>
      <c r="F11" s="19">
        <f t="shared" si="0"/>
        <v>57.15832493480567</v>
      </c>
      <c r="G11" s="20">
        <f>'CDC Source Data'!F485</f>
        <v>0.02</v>
      </c>
    </row>
    <row r="12" spans="1:7" x14ac:dyDescent="0.3">
      <c r="A12" s="16">
        <v>7</v>
      </c>
      <c r="B12" s="17" t="s">
        <v>16</v>
      </c>
      <c r="C12" s="17" t="s">
        <v>17</v>
      </c>
      <c r="D12" s="18">
        <f>'CDC Source Data'!D174</f>
        <v>752772</v>
      </c>
      <c r="E12" s="18">
        <f>'CDC Source Data'!E174</f>
        <v>417</v>
      </c>
      <c r="F12" s="19">
        <f t="shared" si="0"/>
        <v>55.395259122284038</v>
      </c>
      <c r="G12" s="20">
        <f>'CDC Source Data'!F174</f>
        <v>0.03</v>
      </c>
    </row>
    <row r="13" spans="1:7" x14ac:dyDescent="0.3">
      <c r="A13" s="16">
        <v>8</v>
      </c>
      <c r="B13" s="17" t="s">
        <v>18</v>
      </c>
      <c r="C13" s="17" t="s">
        <v>19</v>
      </c>
      <c r="D13" s="18">
        <f>'CDC Source Data'!D436</f>
        <v>1573916</v>
      </c>
      <c r="E13" s="18">
        <f>'CDC Source Data'!E436</f>
        <v>870</v>
      </c>
      <c r="F13" s="19">
        <f t="shared" si="0"/>
        <v>55.27613926029089</v>
      </c>
      <c r="G13" s="20">
        <f>'CDC Source Data'!F436</f>
        <v>1.37</v>
      </c>
    </row>
    <row r="14" spans="1:7" x14ac:dyDescent="0.3">
      <c r="A14" s="16">
        <v>9</v>
      </c>
      <c r="B14" s="17" t="s">
        <v>20</v>
      </c>
      <c r="C14" s="17" t="s">
        <v>21</v>
      </c>
      <c r="D14" s="18">
        <f>'CDC Source Data'!D389</f>
        <v>795897</v>
      </c>
      <c r="E14" s="18">
        <f>'CDC Source Data'!E389</f>
        <v>423</v>
      </c>
      <c r="F14" s="19">
        <f t="shared" si="0"/>
        <v>53.147580654280638</v>
      </c>
      <c r="G14" s="20">
        <f>'CDC Source Data'!F389</f>
        <v>1.87</v>
      </c>
    </row>
    <row r="15" spans="1:7" x14ac:dyDescent="0.3">
      <c r="A15" s="16">
        <v>10</v>
      </c>
      <c r="B15" s="17" t="s">
        <v>22</v>
      </c>
      <c r="C15" s="17" t="s">
        <v>17</v>
      </c>
      <c r="D15" s="18">
        <f>'CDC Source Data'!D155</f>
        <v>729019</v>
      </c>
      <c r="E15" s="18">
        <f>'CDC Source Data'!E155</f>
        <v>370</v>
      </c>
      <c r="F15" s="19">
        <f t="shared" si="0"/>
        <v>50.753135377815944</v>
      </c>
      <c r="G15" s="20">
        <f>'CDC Source Data'!F155</f>
        <v>0.02</v>
      </c>
    </row>
    <row r="16" spans="1:7" x14ac:dyDescent="0.3">
      <c r="A16" s="16">
        <v>11</v>
      </c>
      <c r="B16" s="17" t="s">
        <v>23</v>
      </c>
      <c r="C16" s="17" t="s">
        <v>24</v>
      </c>
      <c r="D16" s="18">
        <f>'CDC Source Data'!D422</f>
        <v>362701</v>
      </c>
      <c r="E16" s="18">
        <f>'CDC Source Data'!E422</f>
        <v>176</v>
      </c>
      <c r="F16" s="19">
        <f t="shared" si="0"/>
        <v>48.52481796300534</v>
      </c>
      <c r="G16" s="20">
        <f>'CDC Source Data'!F422</f>
        <v>0.03</v>
      </c>
    </row>
    <row r="17" spans="1:7" x14ac:dyDescent="0.3">
      <c r="A17" s="26">
        <v>12</v>
      </c>
      <c r="B17" s="27" t="s">
        <v>234</v>
      </c>
      <c r="C17" s="27" t="s">
        <v>13</v>
      </c>
      <c r="D17" s="28">
        <f>'CDC Source Data'!D618</f>
        <v>258523</v>
      </c>
      <c r="E17" s="28">
        <f>'CDC Source Data'!E618</f>
        <v>123</v>
      </c>
      <c r="F17" s="29">
        <f t="shared" si="0"/>
        <v>47.577971785875917</v>
      </c>
      <c r="G17" s="30">
        <f>'CDC Source Data'!F618</f>
        <v>0.22</v>
      </c>
    </row>
    <row r="18" spans="1:7" x14ac:dyDescent="0.3">
      <c r="A18" s="16">
        <v>13</v>
      </c>
      <c r="B18" s="17" t="s">
        <v>235</v>
      </c>
      <c r="C18" s="17" t="s">
        <v>43</v>
      </c>
      <c r="D18" s="18">
        <f>'CDC Source Data'!D372</f>
        <v>226479</v>
      </c>
      <c r="E18" s="18">
        <f>'CDC Source Data'!E372</f>
        <v>107</v>
      </c>
      <c r="F18" s="19">
        <f t="shared" si="0"/>
        <v>47.244998432525755</v>
      </c>
      <c r="G18" s="20">
        <f>'CDC Source Data'!F372</f>
        <v>0.15</v>
      </c>
    </row>
    <row r="19" spans="1:7" x14ac:dyDescent="0.3">
      <c r="A19" s="26">
        <v>14</v>
      </c>
      <c r="B19" s="27" t="s">
        <v>25</v>
      </c>
      <c r="C19" s="27" t="s">
        <v>13</v>
      </c>
      <c r="D19" s="28">
        <f>'CDC Source Data'!D438</f>
        <v>941170</v>
      </c>
      <c r="E19" s="28">
        <f>'CDC Source Data'!E438</f>
        <v>435</v>
      </c>
      <c r="F19" s="29">
        <f t="shared" si="0"/>
        <v>46.219067756090823</v>
      </c>
      <c r="G19" s="30">
        <f>'CDC Source Data'!F438</f>
        <v>0.08</v>
      </c>
    </row>
    <row r="20" spans="1:7" x14ac:dyDescent="0.3">
      <c r="A20" s="16">
        <v>15</v>
      </c>
      <c r="B20" s="17" t="s">
        <v>26</v>
      </c>
      <c r="C20" s="17" t="s">
        <v>27</v>
      </c>
      <c r="D20" s="18">
        <f>'CDC Source Data'!D293</f>
        <v>506748</v>
      </c>
      <c r="E20" s="18">
        <f>'CDC Source Data'!E293</f>
        <v>233</v>
      </c>
      <c r="F20" s="19">
        <f t="shared" si="0"/>
        <v>45.979461191756059</v>
      </c>
      <c r="G20" s="20">
        <f>'CDC Source Data'!F293</f>
        <v>0.02</v>
      </c>
    </row>
    <row r="21" spans="1:7" x14ac:dyDescent="0.3">
      <c r="A21" s="16">
        <v>16</v>
      </c>
      <c r="B21" s="17" t="s">
        <v>28</v>
      </c>
      <c r="C21" s="17" t="s">
        <v>29</v>
      </c>
      <c r="D21" s="18">
        <f>'CDC Source Data'!D47</f>
        <v>671747</v>
      </c>
      <c r="E21" s="18">
        <f>'CDC Source Data'!E47</f>
        <v>308</v>
      </c>
      <c r="F21" s="19">
        <f t="shared" si="0"/>
        <v>45.850595536712483</v>
      </c>
      <c r="G21" s="20">
        <f>'CDC Source Data'!F47</f>
        <v>7.0000000000000007E-2</v>
      </c>
    </row>
    <row r="22" spans="1:7" x14ac:dyDescent="0.3">
      <c r="A22" s="16">
        <v>17</v>
      </c>
      <c r="B22" s="17" t="s">
        <v>30</v>
      </c>
      <c r="C22" s="17" t="s">
        <v>27</v>
      </c>
      <c r="D22" s="18">
        <f>'CDC Source Data'!D144</f>
        <v>729505</v>
      </c>
      <c r="E22" s="18">
        <f>'CDC Source Data'!E144</f>
        <v>308</v>
      </c>
      <c r="F22" s="19">
        <f t="shared" si="0"/>
        <v>42.220409729885333</v>
      </c>
      <c r="G22" s="20">
        <f>'CDC Source Data'!F144</f>
        <v>7.0000000000000007E-2</v>
      </c>
    </row>
    <row r="23" spans="1:7" x14ac:dyDescent="0.3">
      <c r="A23" s="16">
        <v>18</v>
      </c>
      <c r="B23" s="17" t="s">
        <v>31</v>
      </c>
      <c r="C23" s="17" t="s">
        <v>32</v>
      </c>
      <c r="D23" s="18">
        <f>'CDC Source Data'!D64</f>
        <v>1384724</v>
      </c>
      <c r="E23" s="18">
        <f>'CDC Source Data'!E64</f>
        <v>582</v>
      </c>
      <c r="F23" s="19">
        <f t="shared" si="0"/>
        <v>42.030036310484974</v>
      </c>
      <c r="G23" s="20">
        <f>'CDC Source Data'!F64</f>
        <v>0.89</v>
      </c>
    </row>
    <row r="24" spans="1:7" x14ac:dyDescent="0.3">
      <c r="A24" s="16">
        <v>19</v>
      </c>
      <c r="B24" s="17" t="s">
        <v>236</v>
      </c>
      <c r="C24" s="17" t="s">
        <v>237</v>
      </c>
      <c r="D24" s="18">
        <f>'CDC Source Data'!D28</f>
        <v>279114</v>
      </c>
      <c r="E24" s="18">
        <f>'CDC Source Data'!E28</f>
        <v>111</v>
      </c>
      <c r="F24" s="19">
        <f t="shared" si="0"/>
        <v>39.768696661579135</v>
      </c>
      <c r="G24" s="20">
        <f>'CDC Source Data'!F28</f>
        <v>0.72</v>
      </c>
    </row>
    <row r="25" spans="1:7" x14ac:dyDescent="0.3">
      <c r="A25" s="26">
        <v>20</v>
      </c>
      <c r="B25" s="27" t="s">
        <v>33</v>
      </c>
      <c r="C25" s="27" t="s">
        <v>13</v>
      </c>
      <c r="D25" s="28">
        <f>'CDC Source Data'!D289</f>
        <v>2340211</v>
      </c>
      <c r="E25" s="28">
        <f>'CDC Source Data'!E289</f>
        <v>921</v>
      </c>
      <c r="F25" s="29">
        <f t="shared" si="0"/>
        <v>39.355425643243279</v>
      </c>
      <c r="G25" s="30">
        <f>'CDC Source Data'!F289</f>
        <v>0.05</v>
      </c>
    </row>
    <row r="26" spans="1:7" x14ac:dyDescent="0.3">
      <c r="A26" s="16">
        <v>21</v>
      </c>
      <c r="B26" s="17" t="s">
        <v>34</v>
      </c>
      <c r="C26" s="17" t="s">
        <v>35</v>
      </c>
      <c r="D26" s="18">
        <f>'CDC Source Data'!D345</f>
        <v>981628</v>
      </c>
      <c r="E26" s="18">
        <f>'CDC Source Data'!E345</f>
        <v>385</v>
      </c>
      <c r="F26" s="19">
        <f t="shared" si="0"/>
        <v>39.220560130721616</v>
      </c>
      <c r="G26" s="20">
        <f>'CDC Source Data'!F345</f>
        <v>0</v>
      </c>
    </row>
    <row r="27" spans="1:7" x14ac:dyDescent="0.3">
      <c r="A27" s="16">
        <v>22</v>
      </c>
      <c r="B27" s="17" t="s">
        <v>36</v>
      </c>
      <c r="C27" s="17" t="s">
        <v>36</v>
      </c>
      <c r="D27" s="18">
        <f>'CDC Source Data'!D157</f>
        <v>702250</v>
      </c>
      <c r="E27" s="18">
        <f>'CDC Source Data'!E157</f>
        <v>270</v>
      </c>
      <c r="F27" s="19">
        <f t="shared" si="0"/>
        <v>38.447846208615168</v>
      </c>
      <c r="G27" s="20">
        <f>'CDC Source Data'!F157</f>
        <v>0.21</v>
      </c>
    </row>
    <row r="28" spans="1:7" x14ac:dyDescent="0.3">
      <c r="A28" s="16">
        <v>23</v>
      </c>
      <c r="B28" s="17" t="s">
        <v>238</v>
      </c>
      <c r="C28" s="17" t="s">
        <v>239</v>
      </c>
      <c r="D28" s="18">
        <f>'CDC Source Data'!D468</f>
        <v>233655</v>
      </c>
      <c r="E28" s="18">
        <f>'CDC Source Data'!E468</f>
        <v>86</v>
      </c>
      <c r="F28" s="19">
        <f t="shared" si="0"/>
        <v>36.806402602127065</v>
      </c>
      <c r="G28" s="20">
        <f>'CDC Source Data'!F468</f>
        <v>0.28000000000000003</v>
      </c>
    </row>
    <row r="29" spans="1:7" x14ac:dyDescent="0.3">
      <c r="A29" s="16">
        <v>24</v>
      </c>
      <c r="B29" s="17" t="s">
        <v>37</v>
      </c>
      <c r="C29" s="17" t="s">
        <v>38</v>
      </c>
      <c r="D29" s="18">
        <f>'CDC Source Data'!D368</f>
        <v>924740</v>
      </c>
      <c r="E29" s="18">
        <f>'CDC Source Data'!E368</f>
        <v>340</v>
      </c>
      <c r="F29" s="19">
        <f t="shared" si="0"/>
        <v>36.767091290524903</v>
      </c>
      <c r="G29" s="20">
        <f>'CDC Source Data'!F368</f>
        <v>0.19</v>
      </c>
    </row>
    <row r="30" spans="1:7" x14ac:dyDescent="0.3">
      <c r="A30" s="26">
        <v>25</v>
      </c>
      <c r="B30" s="27" t="s">
        <v>39</v>
      </c>
      <c r="C30" s="27" t="s">
        <v>13</v>
      </c>
      <c r="D30" s="28">
        <f>'CDC Source Data'!D558</f>
        <v>302912</v>
      </c>
      <c r="E30" s="28">
        <f>'CDC Source Data'!E558</f>
        <v>111</v>
      </c>
      <c r="F30" s="29">
        <f t="shared" si="0"/>
        <v>36.644305937037821</v>
      </c>
      <c r="G30" s="30">
        <f>'CDC Source Data'!F558</f>
        <v>0.18</v>
      </c>
    </row>
    <row r="36" spans="1:26" ht="16.8" customHeight="1" x14ac:dyDescent="0.3">
      <c r="A36" s="73" t="s">
        <v>52</v>
      </c>
    </row>
    <row r="37" spans="1:26" x14ac:dyDescent="0.3">
      <c r="A37" s="74" t="s">
        <v>53</v>
      </c>
    </row>
    <row r="39" spans="1:26" x14ac:dyDescent="0.3">
      <c r="A39" s="75" t="s">
        <v>54</v>
      </c>
      <c r="B39" s="76" t="b">
        <v>1</v>
      </c>
      <c r="C39" s="76" t="b">
        <v>1</v>
      </c>
      <c r="D39" s="76" t="b">
        <v>1</v>
      </c>
      <c r="E39" s="76" t="b">
        <v>1</v>
      </c>
      <c r="F39" s="77" t="b">
        <v>1</v>
      </c>
      <c r="G39" s="78" t="b">
        <v>0</v>
      </c>
      <c r="H39" s="78" t="b">
        <v>0</v>
      </c>
      <c r="I39" s="78" t="b">
        <v>0</v>
      </c>
      <c r="J39" s="78" t="b">
        <v>0</v>
      </c>
      <c r="K39" s="78" t="b">
        <v>0</v>
      </c>
      <c r="L39" s="78" t="b">
        <v>0</v>
      </c>
      <c r="M39" s="76" t="b">
        <v>1</v>
      </c>
      <c r="N39" s="78" t="b">
        <v>0</v>
      </c>
      <c r="O39" s="76" t="b">
        <v>1</v>
      </c>
      <c r="P39" s="78" t="b">
        <v>0</v>
      </c>
      <c r="Q39" s="78" t="b">
        <v>0</v>
      </c>
      <c r="R39" s="78" t="b">
        <v>0</v>
      </c>
      <c r="S39" s="78" t="b">
        <v>0</v>
      </c>
      <c r="T39" s="78" t="b">
        <v>0</v>
      </c>
      <c r="U39" s="76" t="b">
        <v>1</v>
      </c>
      <c r="V39" s="78" t="b">
        <v>0</v>
      </c>
      <c r="W39" s="78" t="b">
        <v>0</v>
      </c>
      <c r="X39" s="78" t="b">
        <v>0</v>
      </c>
      <c r="Y39" s="78" t="b">
        <v>0</v>
      </c>
      <c r="Z39" s="76" t="b">
        <v>1</v>
      </c>
    </row>
    <row r="41" spans="1:26" x14ac:dyDescent="0.3">
      <c r="A41" s="5" t="s">
        <v>55</v>
      </c>
      <c r="B41" s="5" t="s">
        <v>56</v>
      </c>
      <c r="C41" s="5" t="s">
        <v>240</v>
      </c>
      <c r="D41" s="5" t="s">
        <v>241</v>
      </c>
      <c r="E41" s="5" t="s">
        <v>242</v>
      </c>
      <c r="F41" s="79" t="s">
        <v>57</v>
      </c>
      <c r="G41" s="5" t="s">
        <v>58</v>
      </c>
      <c r="H41" s="5" t="s">
        <v>59</v>
      </c>
      <c r="I41" s="5" t="s">
        <v>60</v>
      </c>
      <c r="J41" s="5" t="s">
        <v>61</v>
      </c>
      <c r="K41" s="5" t="s">
        <v>62</v>
      </c>
      <c r="L41" s="5" t="s">
        <v>63</v>
      </c>
      <c r="M41" s="80" t="s">
        <v>243</v>
      </c>
      <c r="N41" s="5" t="s">
        <v>244</v>
      </c>
      <c r="O41" s="80" t="s">
        <v>64</v>
      </c>
      <c r="P41" s="5" t="s">
        <v>65</v>
      </c>
      <c r="Q41" s="5" t="s">
        <v>66</v>
      </c>
      <c r="R41" s="5" t="s">
        <v>67</v>
      </c>
      <c r="S41" s="5" t="s">
        <v>68</v>
      </c>
      <c r="T41" s="5" t="s">
        <v>245</v>
      </c>
      <c r="U41" s="80" t="s">
        <v>69</v>
      </c>
      <c r="V41" s="5" t="s">
        <v>70</v>
      </c>
      <c r="W41" s="5" t="s">
        <v>71</v>
      </c>
      <c r="X41" s="5" t="s">
        <v>246</v>
      </c>
      <c r="Y41" s="5" t="s">
        <v>72</v>
      </c>
      <c r="Z41" s="80" t="s">
        <v>73</v>
      </c>
    </row>
    <row r="42" spans="1:26" x14ac:dyDescent="0.3">
      <c r="A42" s="81" t="s">
        <v>81</v>
      </c>
      <c r="B42" s="82">
        <f>IF(B$39,120.19,NA())</f>
        <v>120.19</v>
      </c>
      <c r="C42" s="82">
        <f>IF(C$39,88.67,NA())</f>
        <v>88.67</v>
      </c>
      <c r="D42" s="82">
        <f>IF(D$39,18.65,NA())</f>
        <v>18.649999999999999</v>
      </c>
      <c r="E42" s="82">
        <f>IF(E$39,24.48,NA())</f>
        <v>24.48</v>
      </c>
      <c r="F42" s="82">
        <f>IF(F$39,14.93,NA())</f>
        <v>14.93</v>
      </c>
      <c r="G42" s="82" t="e">
        <f>IF(G$39,49.06,NA())</f>
        <v>#N/A</v>
      </c>
      <c r="H42" s="82" t="e">
        <f>IF(H$39,25.37,NA())</f>
        <v>#N/A</v>
      </c>
      <c r="I42" s="82" t="e">
        <f>NA()</f>
        <v>#N/A</v>
      </c>
      <c r="J42" s="82" t="e">
        <f>IF(J$39,25,NA())</f>
        <v>#N/A</v>
      </c>
      <c r="K42" s="82" t="e">
        <f>IF(K$39,25.51,NA())</f>
        <v>#N/A</v>
      </c>
      <c r="L42" s="82" t="e">
        <f>IF(L$39,48.25,NA())</f>
        <v>#N/A</v>
      </c>
      <c r="M42" s="82">
        <f>IF(M$39,17.79,NA())</f>
        <v>17.79</v>
      </c>
      <c r="N42" s="82" t="e">
        <f>IF(N$39,20.75,NA())</f>
        <v>#N/A</v>
      </c>
      <c r="O42" s="82">
        <f>IF(O$39,15.73,NA())</f>
        <v>15.73</v>
      </c>
      <c r="P42" s="82" t="e">
        <f>IF(P$39,44.2,NA())</f>
        <v>#N/A</v>
      </c>
      <c r="Q42" s="82" t="e">
        <f>IF(Q$39,40.19,NA())</f>
        <v>#N/A</v>
      </c>
      <c r="R42" s="82" t="e">
        <f>IF(R$39,44.82,NA())</f>
        <v>#N/A</v>
      </c>
      <c r="S42" s="82" t="e">
        <f>IF(S$39,29.68,NA())</f>
        <v>#N/A</v>
      </c>
      <c r="T42" s="82" t="e">
        <f>IF(T$39,54.1,NA())</f>
        <v>#N/A</v>
      </c>
      <c r="U42" s="82">
        <f>IF(U$39,17.43,NA())</f>
        <v>17.43</v>
      </c>
      <c r="V42" s="82" t="e">
        <f>IF(V$39,40.75,NA())</f>
        <v>#N/A</v>
      </c>
      <c r="W42" s="82" t="e">
        <f>IF(W$39,46.85,NA())</f>
        <v>#N/A</v>
      </c>
      <c r="X42" s="82" t="e">
        <f>IF(X$39,47.08,NA())</f>
        <v>#N/A</v>
      </c>
      <c r="Y42" s="82" t="e">
        <f>IF(Y$39,44.44,NA())</f>
        <v>#N/A</v>
      </c>
      <c r="Z42" s="82">
        <f>IF(Z$39,12.88,NA())</f>
        <v>12.88</v>
      </c>
    </row>
    <row r="43" spans="1:26" x14ac:dyDescent="0.3">
      <c r="A43" s="81" t="s">
        <v>82</v>
      </c>
      <c r="B43" s="82">
        <f>IF(B$39,117.9,NA())</f>
        <v>117.9</v>
      </c>
      <c r="C43" s="82">
        <f>IF(C$39,89.03,NA())</f>
        <v>89.03</v>
      </c>
      <c r="D43" s="82">
        <f>IF(D$39,18.3,NA())</f>
        <v>18.3</v>
      </c>
      <c r="E43" s="82">
        <f>IF(E$39,25.92,NA())</f>
        <v>25.92</v>
      </c>
      <c r="F43" s="82">
        <f>IF(F$39,15.29,NA())</f>
        <v>15.29</v>
      </c>
      <c r="G43" s="82" t="e">
        <f>IF(G$39,50.27,NA())</f>
        <v>#N/A</v>
      </c>
      <c r="H43" s="82" t="e">
        <f>IF(H$39,25.51,NA())</f>
        <v>#N/A</v>
      </c>
      <c r="I43" s="82" t="e">
        <f>IF(I$39,63.47,NA())</f>
        <v>#N/A</v>
      </c>
      <c r="J43" s="82" t="e">
        <f>IF(J$39,25.38,NA())</f>
        <v>#N/A</v>
      </c>
      <c r="K43" s="82" t="e">
        <f>IF(K$39,26.06,NA())</f>
        <v>#N/A</v>
      </c>
      <c r="L43" s="82" t="e">
        <f>IF(L$39,50.45,NA())</f>
        <v>#N/A</v>
      </c>
      <c r="M43" s="82">
        <f>IF(M$39,19.73,NA())</f>
        <v>19.73</v>
      </c>
      <c r="N43" s="82" t="e">
        <f>IF(N$39,19.43,NA())</f>
        <v>#N/A</v>
      </c>
      <c r="O43" s="82">
        <f>IF(O$39,15.19,NA())</f>
        <v>15.19</v>
      </c>
      <c r="P43" s="82" t="e">
        <f>IF(P$39,43.81,NA())</f>
        <v>#N/A</v>
      </c>
      <c r="Q43" s="82" t="e">
        <f>IF(Q$39,40.19,NA())</f>
        <v>#N/A</v>
      </c>
      <c r="R43" s="82" t="e">
        <f>IF(R$39,44.96,NA())</f>
        <v>#N/A</v>
      </c>
      <c r="S43" s="82" t="e">
        <f>IF(S$39,31.13,NA())</f>
        <v>#N/A</v>
      </c>
      <c r="T43" s="82" t="e">
        <f>IF(T$39,52.31,NA())</f>
        <v>#N/A</v>
      </c>
      <c r="U43" s="82">
        <f>IF(U$39,17.61,NA())</f>
        <v>17.61</v>
      </c>
      <c r="V43" s="82" t="e">
        <f>IF(V$39,42.48,NA())</f>
        <v>#N/A</v>
      </c>
      <c r="W43" s="82" t="e">
        <f>IF(W$39,48.7,NA())</f>
        <v>#N/A</v>
      </c>
      <c r="X43" s="82" t="e">
        <f>IF(X$39,47.51,NA())</f>
        <v>#N/A</v>
      </c>
      <c r="Y43" s="82" t="e">
        <f>IF(Y$39,46.5,NA())</f>
        <v>#N/A</v>
      </c>
      <c r="Z43" s="82">
        <f>IF(Z$39,12.21,NA())</f>
        <v>12.21</v>
      </c>
    </row>
    <row r="44" spans="1:26" x14ac:dyDescent="0.3">
      <c r="A44" s="81" t="s">
        <v>83</v>
      </c>
      <c r="B44" s="82">
        <f>IF(B$39,117.9,NA())</f>
        <v>117.9</v>
      </c>
      <c r="C44" s="82">
        <f>IF(C$39,93.67,NA())</f>
        <v>93.67</v>
      </c>
      <c r="D44" s="82">
        <f>IF(D$39,18.3,NA())</f>
        <v>18.3</v>
      </c>
      <c r="E44" s="82">
        <f>IF(E$39,24,NA())</f>
        <v>24</v>
      </c>
      <c r="F44" s="82">
        <f>IF(F$39,15.83,NA())</f>
        <v>15.83</v>
      </c>
      <c r="G44" s="82" t="e">
        <f>IF(G$39,52.81,NA())</f>
        <v>#N/A</v>
      </c>
      <c r="H44" s="82" t="e">
        <f>IF(H$39,25.24,NA())</f>
        <v>#N/A</v>
      </c>
      <c r="I44" s="82" t="e">
        <f>NA()</f>
        <v>#N/A</v>
      </c>
      <c r="J44" s="82" t="e">
        <f>IF(J$39,25.76,NA())</f>
        <v>#N/A</v>
      </c>
      <c r="K44" s="82" t="e">
        <f>IF(K$39,27.3,NA())</f>
        <v>#N/A</v>
      </c>
      <c r="L44" s="82" t="e">
        <f>IF(L$39,52.66,NA())</f>
        <v>#N/A</v>
      </c>
      <c r="M44" s="82">
        <f>IF(M$39,21.66,NA())</f>
        <v>21.66</v>
      </c>
      <c r="N44" s="82" t="e">
        <f>IF(N$39,19.87,NA())</f>
        <v>#N/A</v>
      </c>
      <c r="O44" s="82">
        <f>IF(O$39,16.15,NA())</f>
        <v>16.149999999999999</v>
      </c>
      <c r="P44" s="82" t="e">
        <f>IF(P$39,46.57,NA())</f>
        <v>#N/A</v>
      </c>
      <c r="Q44" s="82" t="e">
        <f>IF(Q$39,40.49,NA())</f>
        <v>#N/A</v>
      </c>
      <c r="R44" s="82" t="e">
        <f>IF(R$39,48.11,NA())</f>
        <v>#N/A</v>
      </c>
      <c r="S44" s="82" t="e">
        <f>IF(S$39,31.2,NA())</f>
        <v>#N/A</v>
      </c>
      <c r="T44" s="82" t="e">
        <f>IF(T$39,51.95,NA())</f>
        <v>#N/A</v>
      </c>
      <c r="U44" s="82">
        <f>IF(U$39,18.29,NA())</f>
        <v>18.29</v>
      </c>
      <c r="V44" s="82" t="e">
        <f>IF(V$39,41.56,NA())</f>
        <v>#N/A</v>
      </c>
      <c r="W44" s="82" t="e">
        <f>IF(W$39,49.41,NA())</f>
        <v>#N/A</v>
      </c>
      <c r="X44" s="82" t="e">
        <f>IF(X$39,49.22,NA())</f>
        <v>#N/A</v>
      </c>
      <c r="Y44" s="82" t="e">
        <f>IF(Y$39,46.5,NA())</f>
        <v>#N/A</v>
      </c>
      <c r="Z44" s="82">
        <f>IF(Z$39,10.89,NA())</f>
        <v>10.89</v>
      </c>
    </row>
    <row r="45" spans="1:26" x14ac:dyDescent="0.3">
      <c r="A45" s="81" t="s">
        <v>84</v>
      </c>
      <c r="B45" s="82">
        <f>IF(B$39,117.2,NA())</f>
        <v>117.2</v>
      </c>
      <c r="C45" s="82">
        <f>IF(C$39,97.25,NA())</f>
        <v>97.25</v>
      </c>
      <c r="D45" s="82">
        <f>IF(D$39,18.65,NA())</f>
        <v>18.649999999999999</v>
      </c>
      <c r="E45" s="82">
        <f>IF(E$39,22.56,NA())</f>
        <v>22.56</v>
      </c>
      <c r="F45" s="82">
        <f>IF(F$39,16.01,NA())</f>
        <v>16.010000000000002</v>
      </c>
      <c r="G45" s="82" t="e">
        <f>IF(G$39,55.22,NA())</f>
        <v>#N/A</v>
      </c>
      <c r="H45" s="82" t="e">
        <f>IF(H$39,26.83,NA())</f>
        <v>#N/A</v>
      </c>
      <c r="I45" s="82" t="e">
        <f>NA()</f>
        <v>#N/A</v>
      </c>
      <c r="J45" s="82" t="e">
        <f>IF(J$39,26.01,NA())</f>
        <v>#N/A</v>
      </c>
      <c r="K45" s="82" t="e">
        <f>IF(K$39,30.18,NA())</f>
        <v>#N/A</v>
      </c>
      <c r="L45" s="82" t="e">
        <f>IF(L$39,55.69,NA())</f>
        <v>#N/A</v>
      </c>
      <c r="M45" s="82">
        <f>IF(M$39,23.6,NA())</f>
        <v>23.6</v>
      </c>
      <c r="N45" s="82" t="e">
        <f>IF(N$39,20.31,NA())</f>
        <v>#N/A</v>
      </c>
      <c r="O45" s="82">
        <f>IF(O$39,18.17,NA())</f>
        <v>18.170000000000002</v>
      </c>
      <c r="P45" s="82" t="e">
        <f>IF(P$39,46.57,NA())</f>
        <v>#N/A</v>
      </c>
      <c r="Q45" s="82" t="e">
        <f>IF(Q$39,40.19,NA())</f>
        <v>#N/A</v>
      </c>
      <c r="R45" s="82" t="e">
        <f>IF(R$39,50.58,NA())</f>
        <v>#N/A</v>
      </c>
      <c r="S45" s="82" t="e">
        <f>IF(S$39,31.78,NA())</f>
        <v>#N/A</v>
      </c>
      <c r="T45" s="82" t="e">
        <f>IF(T$39,52.31,NA())</f>
        <v>#N/A</v>
      </c>
      <c r="U45" s="82">
        <f>IF(U$39,19.31,NA())</f>
        <v>19.309999999999999</v>
      </c>
      <c r="V45" s="82" t="e">
        <f>IF(V$39,44.82,NA())</f>
        <v>#N/A</v>
      </c>
      <c r="W45" s="82" t="e">
        <f>IF(W$39,53.83,NA())</f>
        <v>#N/A</v>
      </c>
      <c r="X45" s="82" t="e">
        <f>IF(X$39,50.5,NA())</f>
        <v>#N/A</v>
      </c>
      <c r="Y45" s="82" t="e">
        <f>IF(Y$39,47.58,NA())</f>
        <v>#N/A</v>
      </c>
      <c r="Z45" s="82">
        <f>IF(Z$39,10.89,NA())</f>
        <v>10.89</v>
      </c>
    </row>
    <row r="46" spans="1:26" x14ac:dyDescent="0.3">
      <c r="A46" s="81" t="s">
        <v>85</v>
      </c>
      <c r="B46" s="82">
        <f>IF(B$39,121.24,NA())</f>
        <v>121.24</v>
      </c>
      <c r="C46" s="82">
        <f>IF(C$39,104.4,NA())</f>
        <v>104.4</v>
      </c>
      <c r="D46" s="82">
        <f>IF(D$39,20.37,NA())</f>
        <v>20.37</v>
      </c>
      <c r="E46" s="82">
        <f>IF(E$39,23.52,NA())</f>
        <v>23.52</v>
      </c>
      <c r="F46" s="82">
        <f>IF(F$39,15.29,NA())</f>
        <v>15.29</v>
      </c>
      <c r="G46" s="82" t="e">
        <f>IF(G$39,60.18,NA())</f>
        <v>#N/A</v>
      </c>
      <c r="H46" s="82" t="e">
        <f>IF(H$39,29.09,NA())</f>
        <v>#N/A</v>
      </c>
      <c r="I46" s="82" t="e">
        <f>NA()</f>
        <v>#N/A</v>
      </c>
      <c r="J46" s="82" t="e">
        <f>IF(J$39,27.26,NA())</f>
        <v>#N/A</v>
      </c>
      <c r="K46" s="82" t="e">
        <f>IF(K$39,32.1,NA())</f>
        <v>#N/A</v>
      </c>
      <c r="L46" s="82" t="e">
        <f>IF(L$39,61.21,NA())</f>
        <v>#N/A</v>
      </c>
      <c r="M46" s="82">
        <f>IF(M$39,25.92,NA())</f>
        <v>25.92</v>
      </c>
      <c r="N46" s="82" t="e">
        <f>IF(N$39,21.64,NA())</f>
        <v>#N/A</v>
      </c>
      <c r="O46" s="82">
        <f>IF(O$39,19.87,NA())</f>
        <v>19.87</v>
      </c>
      <c r="P46" s="82" t="e">
        <f>IF(P$39,50.12,NA())</f>
        <v>#N/A</v>
      </c>
      <c r="Q46" s="82" t="e">
        <f>IF(Q$39,40.64,NA())</f>
        <v>#N/A</v>
      </c>
      <c r="R46" s="82" t="e">
        <f>IF(R$39,52.64,NA())</f>
        <v>#N/A</v>
      </c>
      <c r="S46" s="82" t="e">
        <f>IF(S$39,32.86,NA())</f>
        <v>#N/A</v>
      </c>
      <c r="T46" s="82" t="e">
        <f>IF(T$39,54.46,NA())</f>
        <v>#N/A</v>
      </c>
      <c r="U46" s="82">
        <f>IF(U$39,20.21,NA())</f>
        <v>20.21</v>
      </c>
      <c r="V46" s="82" t="e">
        <f>IF(V$39,49.1,NA())</f>
        <v>#N/A</v>
      </c>
      <c r="W46" s="82" t="e">
        <f>IF(W$39,57.24,NA())</f>
        <v>#N/A</v>
      </c>
      <c r="X46" s="82" t="e">
        <f>IF(X$39,53.5,NA())</f>
        <v>#N/A</v>
      </c>
      <c r="Y46" s="82" t="e">
        <f>IF(Y$39,50.72,NA())</f>
        <v>#N/A</v>
      </c>
      <c r="Z46" s="82">
        <f>IF(Z$39,11.55,NA())</f>
        <v>11.55</v>
      </c>
    </row>
    <row r="47" spans="1:26" x14ac:dyDescent="0.3">
      <c r="A47" s="81" t="s">
        <v>86</v>
      </c>
      <c r="B47" s="82">
        <f>IF(B$39,124.06,NA())</f>
        <v>124.06</v>
      </c>
      <c r="C47" s="82">
        <f>IF(C$39,107.62,NA())</f>
        <v>107.62</v>
      </c>
      <c r="D47" s="82">
        <f>IF(D$39,22.1,NA())</f>
        <v>22.1</v>
      </c>
      <c r="E47" s="82">
        <f>IF(E$39,25.44,NA())</f>
        <v>25.44</v>
      </c>
      <c r="F47" s="82">
        <f>IF(F$39,16.37,NA())</f>
        <v>16.37</v>
      </c>
      <c r="G47" s="82" t="e">
        <f>IF(G$39,62.72,NA())</f>
        <v>#N/A</v>
      </c>
      <c r="H47" s="82" t="e">
        <f>IF(H$39,28.96,NA())</f>
        <v>#N/A</v>
      </c>
      <c r="I47" s="82" t="e">
        <f>NA()</f>
        <v>#N/A</v>
      </c>
      <c r="J47" s="82" t="e">
        <f>IF(J$39,27.52,NA())</f>
        <v>#N/A</v>
      </c>
      <c r="K47" s="82" t="e">
        <f>IF(K$39,33.74,NA())</f>
        <v>#N/A</v>
      </c>
      <c r="L47" s="82" t="e">
        <f>IF(L$39,62.86,NA())</f>
        <v>#N/A</v>
      </c>
      <c r="M47" s="82">
        <f>IF(M$39,29.01,NA())</f>
        <v>29.01</v>
      </c>
      <c r="N47" s="82" t="e">
        <f>IF(N$39,20.75,NA())</f>
        <v>#N/A</v>
      </c>
      <c r="O47" s="82">
        <f>IF(O$39,20.08,NA())</f>
        <v>20.079999999999998</v>
      </c>
      <c r="P47" s="82" t="e">
        <f>IF(P$39,51.7,NA())</f>
        <v>#N/A</v>
      </c>
      <c r="Q47" s="82" t="e">
        <f>IF(Q$39,42.28,NA())</f>
        <v>#N/A</v>
      </c>
      <c r="R47" s="82" t="e">
        <f>IF(R$39,54.69,NA())</f>
        <v>#N/A</v>
      </c>
      <c r="S47" s="82" t="e">
        <f>IF(S$39,33,NA())</f>
        <v>#N/A</v>
      </c>
      <c r="T47" s="82" t="e">
        <f>IF(T$39,56.61,NA())</f>
        <v>#N/A</v>
      </c>
      <c r="U47" s="82">
        <f>IF(U$39,20.77,NA())</f>
        <v>20.77</v>
      </c>
      <c r="V47" s="82" t="e">
        <f>IF(V$39,51.45,NA())</f>
        <v>#N/A</v>
      </c>
      <c r="W47" s="82" t="e">
        <f>IF(W$39,58.1,NA())</f>
        <v>#N/A</v>
      </c>
      <c r="X47" s="82" t="e">
        <f>IF(X$39,54.78,NA())</f>
        <v>#N/A</v>
      </c>
      <c r="Y47" s="82" t="e">
        <f>IF(Y$39,53.31,NA())</f>
        <v>#N/A</v>
      </c>
      <c r="Z47" s="82">
        <f>IF(Z$39,13.54,NA())</f>
        <v>13.54</v>
      </c>
    </row>
    <row r="48" spans="1:26" x14ac:dyDescent="0.3">
      <c r="A48" s="81" t="s">
        <v>87</v>
      </c>
      <c r="B48" s="82">
        <f>IF(B$39,126.7,NA())</f>
        <v>126.7</v>
      </c>
      <c r="C48" s="82">
        <f>IF(C$39,108.33,NA())</f>
        <v>108.33</v>
      </c>
      <c r="D48" s="82">
        <f>IF(D$39,24.17,NA())</f>
        <v>24.17</v>
      </c>
      <c r="E48" s="82">
        <f>IF(E$39,28.32,NA())</f>
        <v>28.32</v>
      </c>
      <c r="F48" s="82">
        <f>IF(F$39,16.55,NA())</f>
        <v>16.55</v>
      </c>
      <c r="G48" s="82" t="e">
        <f>IF(G$39,66.7,NA())</f>
        <v>#N/A</v>
      </c>
      <c r="H48" s="82" t="e">
        <f>IF(H$39,31.09,NA())</f>
        <v>#N/A</v>
      </c>
      <c r="I48" s="82" t="e">
        <f>NA()</f>
        <v>#N/A</v>
      </c>
      <c r="J48" s="82" t="e">
        <f>IF(J$39,28.52,NA())</f>
        <v>#N/A</v>
      </c>
      <c r="K48" s="82" t="e">
        <f>IF(K$39,36.76,NA())</f>
        <v>#N/A</v>
      </c>
      <c r="L48" s="82" t="e">
        <f>IF(L$39,67,NA())</f>
        <v>#N/A</v>
      </c>
      <c r="M48" s="82">
        <f>IF(M$39,31.33,NA())</f>
        <v>31.33</v>
      </c>
      <c r="N48" s="82" t="e">
        <f>IF(N$39,20.31,NA())</f>
        <v>#N/A</v>
      </c>
      <c r="O48" s="82">
        <f>IF(O$39,21.78,NA())</f>
        <v>21.78</v>
      </c>
      <c r="P48" s="82" t="e">
        <f>IF(P$39,53.87,NA())</f>
        <v>#N/A</v>
      </c>
      <c r="Q48" s="82" t="e">
        <f>IF(Q$39,43.47,NA())</f>
        <v>#N/A</v>
      </c>
      <c r="R48" s="82" t="e">
        <f>IF(R$39,55.65,NA())</f>
        <v>#N/A</v>
      </c>
      <c r="S48" s="82" t="e">
        <f>IF(S$39,35.39,NA())</f>
        <v>#N/A</v>
      </c>
      <c r="T48" s="82" t="e">
        <f>IF(T$39,59.12,NA())</f>
        <v>#N/A</v>
      </c>
      <c r="U48" s="82">
        <f>IF(U$39,21.28,NA())</f>
        <v>21.28</v>
      </c>
      <c r="V48" s="82" t="e">
        <f>IF(V$39,52.16,NA())</f>
        <v>#N/A</v>
      </c>
      <c r="W48" s="82" t="e">
        <f>IF(W$39,59.24,NA())</f>
        <v>#N/A</v>
      </c>
      <c r="X48" s="82" t="e">
        <f>IF(X$39,57.35,NA())</f>
        <v>#N/A</v>
      </c>
      <c r="Y48" s="82" t="e">
        <f>IF(Y$39,54.61,NA())</f>
        <v>#N/A</v>
      </c>
      <c r="Z48" s="82">
        <f>IF(Z$39,14.2,NA())</f>
        <v>14.2</v>
      </c>
    </row>
    <row r="49" spans="1:26" x14ac:dyDescent="0.3">
      <c r="A49" s="81" t="s">
        <v>88</v>
      </c>
      <c r="B49" s="82">
        <f>IF(B$39,131.45,NA())</f>
        <v>131.44999999999999</v>
      </c>
      <c r="C49" s="82">
        <f>IF(C$39,105.83,NA())</f>
        <v>105.83</v>
      </c>
      <c r="D49" s="82">
        <f>IF(D$39,26.24,NA())</f>
        <v>26.24</v>
      </c>
      <c r="E49" s="82">
        <f>IF(E$39,32.64,NA())</f>
        <v>32.64</v>
      </c>
      <c r="F49" s="82">
        <f>IF(F$39,16.91,NA())</f>
        <v>16.91</v>
      </c>
      <c r="G49" s="82" t="e">
        <f>IF(G$39,68.4,NA())</f>
        <v>#N/A</v>
      </c>
      <c r="H49" s="82" t="e">
        <f>IF(H$39,32.68,NA())</f>
        <v>#N/A</v>
      </c>
      <c r="I49" s="82" t="e">
        <f>NA()</f>
        <v>#N/A</v>
      </c>
      <c r="J49" s="82" t="e">
        <f>IF(J$39,29.53,NA())</f>
        <v>#N/A</v>
      </c>
      <c r="K49" s="82" t="e">
        <f>IF(K$39,38.13,NA())</f>
        <v>#N/A</v>
      </c>
      <c r="L49" s="82" t="e">
        <f>IF(L$39,68.1,NA())</f>
        <v>#N/A</v>
      </c>
      <c r="M49" s="82">
        <f>IF(M$39,33.65,NA())</f>
        <v>33.65</v>
      </c>
      <c r="N49" s="82" t="e">
        <f>IF(N$39,21.64,NA())</f>
        <v>#N/A</v>
      </c>
      <c r="O49" s="82">
        <f>IF(O$39,21.99,NA())</f>
        <v>21.99</v>
      </c>
      <c r="P49" s="82" t="e">
        <f>IF(P$39,57.23,NA())</f>
        <v>#N/A</v>
      </c>
      <c r="Q49" s="82" t="e">
        <f>IF(Q$39,46.45,NA())</f>
        <v>#N/A</v>
      </c>
      <c r="R49" s="82" t="e">
        <f>IF(R$39,56.07,NA())</f>
        <v>#N/A</v>
      </c>
      <c r="S49" s="82" t="e">
        <f>IF(S$39,36.25,NA())</f>
        <v>#N/A</v>
      </c>
      <c r="T49" s="82" t="e">
        <f>IF(T$39,59.12,NA())</f>
        <v>#N/A</v>
      </c>
      <c r="U49" s="82">
        <f>IF(U$39,21.15,NA())</f>
        <v>21.15</v>
      </c>
      <c r="V49" s="82" t="e">
        <f>IF(V$39,53.18,NA())</f>
        <v>#N/A</v>
      </c>
      <c r="W49" s="82" t="e">
        <f>IF(W$39,60.95,NA())</f>
        <v>#N/A</v>
      </c>
      <c r="X49" s="82" t="e">
        <f>IF(X$39,57.35,NA())</f>
        <v>#N/A</v>
      </c>
      <c r="Y49" s="82" t="e">
        <f>IF(Y$39,54.83,NA())</f>
        <v>#N/A</v>
      </c>
      <c r="Z49" s="82">
        <f>IF(Z$39,12.88,NA())</f>
        <v>12.88</v>
      </c>
    </row>
    <row r="50" spans="1:26" x14ac:dyDescent="0.3">
      <c r="A50" s="81" t="s">
        <v>89</v>
      </c>
      <c r="B50" s="82">
        <f>IF(B$39,137.08,NA())</f>
        <v>137.08000000000001</v>
      </c>
      <c r="C50" s="82">
        <f>IF(C$39,102.97,NA())</f>
        <v>102.97</v>
      </c>
      <c r="D50" s="82">
        <f>IF(D$39,27.28,NA())</f>
        <v>27.28</v>
      </c>
      <c r="E50" s="82">
        <f>IF(E$39,32.64,NA())</f>
        <v>32.64</v>
      </c>
      <c r="F50" s="82">
        <f>IF(F$39,16.55,NA())</f>
        <v>16.55</v>
      </c>
      <c r="G50" s="82" t="e">
        <f>IF(G$39,68.28,NA())</f>
        <v>#N/A</v>
      </c>
      <c r="H50" s="82" t="e">
        <f>IF(H$39,34.14,NA())</f>
        <v>#N/A</v>
      </c>
      <c r="I50" s="82" t="e">
        <f>NA()</f>
        <v>#N/A</v>
      </c>
      <c r="J50" s="82" t="e">
        <f>IF(J$39,29.78,NA())</f>
        <v>#N/A</v>
      </c>
      <c r="K50" s="82" t="e">
        <f>IF(K$39,38.54,NA())</f>
        <v>#N/A</v>
      </c>
      <c r="L50" s="82" t="e">
        <f>IF(L$39,70.58,NA())</f>
        <v>#N/A</v>
      </c>
      <c r="M50" s="82">
        <f>IF(M$39,32.88,NA())</f>
        <v>32.880000000000003</v>
      </c>
      <c r="N50" s="82" t="e">
        <f>IF(N$39,21.64,NA())</f>
        <v>#N/A</v>
      </c>
      <c r="O50" s="82">
        <f>IF(O$39,23.27,NA())</f>
        <v>23.27</v>
      </c>
      <c r="P50" s="82" t="e">
        <f>IF(P$39,59.79,NA())</f>
        <v>#N/A</v>
      </c>
      <c r="Q50" s="82" t="e">
        <f>IF(Q$39,47.93,NA())</f>
        <v>#N/A</v>
      </c>
      <c r="R50" s="82" t="e">
        <f>IF(R$39,57.57,NA())</f>
        <v>#N/A</v>
      </c>
      <c r="S50" s="82" t="e">
        <f>IF(S$39,37.84,NA())</f>
        <v>#N/A</v>
      </c>
      <c r="T50" s="82" t="e">
        <f>IF(T$39,59.12,NA())</f>
        <v>#N/A</v>
      </c>
      <c r="U50" s="82">
        <f>IF(U$39,20.77,NA())</f>
        <v>20.77</v>
      </c>
      <c r="V50" s="82" t="e">
        <f>IF(V$39,55.32,NA())</f>
        <v>#N/A</v>
      </c>
      <c r="W50" s="82" t="e">
        <f>IF(W$39,60.8,NA())</f>
        <v>#N/A</v>
      </c>
      <c r="X50" s="82" t="e">
        <f>IF(X$39,60.35,NA())</f>
        <v>#N/A</v>
      </c>
      <c r="Y50" s="82" t="e">
        <f>IF(Y$39,55.26,NA())</f>
        <v>#N/A</v>
      </c>
      <c r="Z50" s="82">
        <f>IF(Z$39,13.54,NA())</f>
        <v>13.54</v>
      </c>
    </row>
    <row r="51" spans="1:26" x14ac:dyDescent="0.3">
      <c r="A51" s="81" t="s">
        <v>90</v>
      </c>
      <c r="B51" s="82">
        <f>IF(B$39,142.89,NA())</f>
        <v>142.88999999999999</v>
      </c>
      <c r="C51" s="82">
        <f>IF(C$39,105.47,NA())</f>
        <v>105.47</v>
      </c>
      <c r="D51" s="82">
        <f>IF(D$39,26.93,NA())</f>
        <v>26.93</v>
      </c>
      <c r="E51" s="82">
        <f>IF(E$39,33.12,NA())</f>
        <v>33.119999999999997</v>
      </c>
      <c r="F51" s="82">
        <f>IF(F$39,17.09,NA())</f>
        <v>17.09</v>
      </c>
      <c r="G51" s="82" t="e">
        <f>IF(G$39,69.61,NA())</f>
        <v>#N/A</v>
      </c>
      <c r="H51" s="82" t="e">
        <f>IF(H$39,33.87,NA())</f>
        <v>#N/A</v>
      </c>
      <c r="I51" s="82" t="e">
        <f>NA()</f>
        <v>#N/A</v>
      </c>
      <c r="J51" s="82" t="e">
        <f>IF(J$39,30.78,NA())</f>
        <v>#N/A</v>
      </c>
      <c r="K51" s="82" t="e">
        <f>IF(K$39,40.05,NA())</f>
        <v>#N/A</v>
      </c>
      <c r="L51" s="82" t="e">
        <f>IF(L$39,70.86,NA())</f>
        <v>#N/A</v>
      </c>
      <c r="M51" s="82">
        <f>IF(M$39,31.33,NA())</f>
        <v>31.33</v>
      </c>
      <c r="N51" s="82" t="e">
        <f>IF(N$39,24.28,NA())</f>
        <v>#N/A</v>
      </c>
      <c r="O51" s="82">
        <f>IF(O$39,24.12,NA())</f>
        <v>24.12</v>
      </c>
      <c r="P51" s="82" t="e">
        <f>IF(P$39,64.13,NA())</f>
        <v>#N/A</v>
      </c>
      <c r="Q51" s="82" t="e">
        <f>IF(Q$39,49.42,NA())</f>
        <v>#N/A</v>
      </c>
      <c r="R51" s="82" t="e">
        <f>IF(R$39,58.4,NA())</f>
        <v>#N/A</v>
      </c>
      <c r="S51" s="82" t="e">
        <f>IF(S$39,39,NA())</f>
        <v>#N/A</v>
      </c>
      <c r="T51" s="82" t="e">
        <f>IF(T$39,59.47,NA())</f>
        <v>#N/A</v>
      </c>
      <c r="U51" s="82">
        <f>IF(U$39,20.72,NA())</f>
        <v>20.72</v>
      </c>
      <c r="V51" s="82" t="e">
        <f>IF(V$39,56.33,NA())</f>
        <v>#N/A</v>
      </c>
      <c r="W51" s="82" t="e">
        <f>IF(W$39,61.66,NA())</f>
        <v>#N/A</v>
      </c>
      <c r="X51" s="82" t="e">
        <f>IF(X$39,61.63,NA())</f>
        <v>#N/A</v>
      </c>
      <c r="Y51" s="82" t="e">
        <f>IF(Y$39,54.5,NA())</f>
        <v>#N/A</v>
      </c>
      <c r="Z51" s="82">
        <f>IF(Z$39,15.52,NA())</f>
        <v>15.52</v>
      </c>
    </row>
    <row r="52" spans="1:26" x14ac:dyDescent="0.3">
      <c r="A52" s="81" t="s">
        <v>91</v>
      </c>
      <c r="B52" s="82">
        <f>IF(B$39,143.42,NA())</f>
        <v>143.41999999999999</v>
      </c>
      <c r="C52" s="82">
        <f>IF(C$39,107.97,NA())</f>
        <v>107.97</v>
      </c>
      <c r="D52" s="82">
        <f>IF(D$39,29.01,NA())</f>
        <v>29.01</v>
      </c>
      <c r="E52" s="82">
        <f>IF(E$39,33.12,NA())</f>
        <v>33.119999999999997</v>
      </c>
      <c r="F52" s="82">
        <f>IF(F$39,17.81,NA())</f>
        <v>17.809999999999999</v>
      </c>
      <c r="G52" s="82" t="e">
        <f>IF(G$39,68.15,NA())</f>
        <v>#N/A</v>
      </c>
      <c r="H52" s="82" t="e">
        <f>IF(H$39,34.27,NA())</f>
        <v>#N/A</v>
      </c>
      <c r="I52" s="82" t="e">
        <f>NA()</f>
        <v>#N/A</v>
      </c>
      <c r="J52" s="82" t="e">
        <f>IF(J$39,31.79,NA())</f>
        <v>#N/A</v>
      </c>
      <c r="K52" s="82" t="e">
        <f>IF(K$39,40.33,NA())</f>
        <v>#N/A</v>
      </c>
      <c r="L52" s="82" t="e">
        <f>IF(L$39,72.79,NA())</f>
        <v>#N/A</v>
      </c>
      <c r="M52" s="82">
        <f>IF(M$39,31.33,NA())</f>
        <v>31.33</v>
      </c>
      <c r="N52" s="82" t="e">
        <f>IF(N$39,24.73,NA())</f>
        <v>#N/A</v>
      </c>
      <c r="O52" s="82">
        <f>IF(O$39,25.5,NA())</f>
        <v>25.5</v>
      </c>
      <c r="P52" s="82" t="e">
        <f>IF(P$39,62.56,NA())</f>
        <v>#N/A</v>
      </c>
      <c r="Q52" s="82" t="e">
        <f>IF(Q$39,51.51,NA())</f>
        <v>#N/A</v>
      </c>
      <c r="R52" s="82" t="e">
        <f>IF(R$39,61,NA())</f>
        <v>#N/A</v>
      </c>
      <c r="S52" s="82" t="e">
        <f>IF(S$39,39.79,NA())</f>
        <v>#N/A</v>
      </c>
      <c r="T52" s="82" t="e">
        <f>IF(T$39,57.32,NA())</f>
        <v>#N/A</v>
      </c>
      <c r="U52" s="82">
        <f>IF(U$39,21.11,NA())</f>
        <v>21.11</v>
      </c>
      <c r="V52" s="82" t="e">
        <f>IF(V$39,58.17,NA())</f>
        <v>#N/A</v>
      </c>
      <c r="W52" s="82" t="e">
        <f>IF(W$39,61.8,NA())</f>
        <v>#N/A</v>
      </c>
      <c r="X52" s="82" t="e">
        <f>IF(X$39,62.49,NA())</f>
        <v>#N/A</v>
      </c>
      <c r="Y52" s="82" t="e">
        <f>IF(Y$39,53.96,NA())</f>
        <v>#N/A</v>
      </c>
      <c r="Z52" s="82">
        <f>IF(Z$39,15.52,NA())</f>
        <v>15.52</v>
      </c>
    </row>
    <row r="53" spans="1:26" x14ac:dyDescent="0.3">
      <c r="A53" s="81" t="s">
        <v>92</v>
      </c>
      <c r="B53" s="82">
        <f>IF(B$39,146.41,NA())</f>
        <v>146.41</v>
      </c>
      <c r="C53" s="82">
        <f>IF(C$39,106.54,NA())</f>
        <v>106.54</v>
      </c>
      <c r="D53" s="82">
        <f>IF(D$39,30.73,NA())</f>
        <v>30.73</v>
      </c>
      <c r="E53" s="82">
        <f>IF(E$39,33.6,NA())</f>
        <v>33.6</v>
      </c>
      <c r="F53" s="82">
        <f>IF(F$39,18.53,NA())</f>
        <v>18.53</v>
      </c>
      <c r="G53" s="82" t="e">
        <f>IF(G$39,66.1,NA())</f>
        <v>#N/A</v>
      </c>
      <c r="H53" s="82" t="e">
        <f>IF(H$39,35.47,NA())</f>
        <v>#N/A</v>
      </c>
      <c r="I53" s="82" t="e">
        <f>NA()</f>
        <v>#N/A</v>
      </c>
      <c r="J53" s="82" t="e">
        <f>IF(J$39,31.41,NA())</f>
        <v>#N/A</v>
      </c>
      <c r="K53" s="82" t="e">
        <f>IF(K$39,41.43,NA())</f>
        <v>#N/A</v>
      </c>
      <c r="L53" s="82" t="e">
        <f>IF(L$39,78.03,NA())</f>
        <v>#N/A</v>
      </c>
      <c r="M53" s="82">
        <f>IF(M$39,29.01,NA())</f>
        <v>29.01</v>
      </c>
      <c r="N53" s="82" t="e">
        <f>IF(N$39,24.73,NA())</f>
        <v>#N/A</v>
      </c>
      <c r="O53" s="82">
        <f>IF(O$39,26.35,NA())</f>
        <v>26.35</v>
      </c>
      <c r="P53" s="82" t="e">
        <f>IF(P$39,67.49,NA())</f>
        <v>#N/A</v>
      </c>
      <c r="Q53" s="82" t="e">
        <f>IF(Q$39,53.59,NA())</f>
        <v>#N/A</v>
      </c>
      <c r="R53" s="82" t="e">
        <f>IF(R$39,60.18,NA())</f>
        <v>#N/A</v>
      </c>
      <c r="S53" s="82" t="e">
        <f>IF(S$39,40.3,NA())</f>
        <v>#N/A</v>
      </c>
      <c r="T53" s="82" t="e">
        <f>IF(T$39,58.04,NA())</f>
        <v>#N/A</v>
      </c>
      <c r="U53" s="82">
        <f>IF(U$39,21.15,NA())</f>
        <v>21.15</v>
      </c>
      <c r="V53" s="82" t="e">
        <f>IF(V$39,60.82,NA())</f>
        <v>#N/A</v>
      </c>
      <c r="W53" s="82" t="e">
        <f>IF(W$39,60.38,NA())</f>
        <v>#N/A</v>
      </c>
      <c r="X53" s="82" t="e">
        <f>IF(X$39,61.63,NA())</f>
        <v>#N/A</v>
      </c>
      <c r="Y53" s="82" t="e">
        <f>IF(Y$39,54.83,NA())</f>
        <v>#N/A</v>
      </c>
      <c r="Z53" s="82">
        <f>IF(Z$39,16.51,NA())</f>
        <v>16.510000000000002</v>
      </c>
    </row>
    <row r="54" spans="1:26" x14ac:dyDescent="0.3">
      <c r="A54" s="81" t="s">
        <v>93</v>
      </c>
      <c r="B54" s="82">
        <f>IF(B$39,150.46,NA())</f>
        <v>150.46</v>
      </c>
      <c r="C54" s="82">
        <f>IF(C$39,104.76,NA())</f>
        <v>104.76</v>
      </c>
      <c r="D54" s="82">
        <f>IF(D$39,30.73,NA())</f>
        <v>30.73</v>
      </c>
      <c r="E54" s="82">
        <f>IF(E$39,37.92,NA())</f>
        <v>37.92</v>
      </c>
      <c r="F54" s="82">
        <f>IF(F$39,17.63,NA())</f>
        <v>17.63</v>
      </c>
      <c r="G54" s="82" t="e">
        <f>IF(G$39,69,NA())</f>
        <v>#N/A</v>
      </c>
      <c r="H54" s="82" t="e">
        <f>IF(H$39,37.2,NA())</f>
        <v>#N/A</v>
      </c>
      <c r="I54" s="82" t="e">
        <f>NA()</f>
        <v>#N/A</v>
      </c>
      <c r="J54" s="82" t="e">
        <f>IF(J$39,31.41,NA())</f>
        <v>#N/A</v>
      </c>
      <c r="K54" s="82" t="e">
        <f>IF(K$39,43.35,NA())</f>
        <v>#N/A</v>
      </c>
      <c r="L54" s="82" t="e">
        <f>IF(L$39,81.33,NA())</f>
        <v>#N/A</v>
      </c>
      <c r="M54" s="82">
        <f>IF(M$39,32.49,NA())</f>
        <v>32.49</v>
      </c>
      <c r="N54" s="82" t="e">
        <f>IF(N$39,26.49,NA())</f>
        <v>#N/A</v>
      </c>
      <c r="O54" s="82">
        <f>IF(O$39,27.09,NA())</f>
        <v>27.09</v>
      </c>
      <c r="P54" s="82" t="e">
        <f>IF(P$39,72.23,NA())</f>
        <v>#N/A</v>
      </c>
      <c r="Q54" s="82" t="e">
        <f>IF(Q$39,54.78,NA())</f>
        <v>#N/A</v>
      </c>
      <c r="R54" s="82" t="e">
        <f>IF(R$39,63.06,NA())</f>
        <v>#N/A</v>
      </c>
      <c r="S54" s="82" t="e">
        <f>IF(S$39,43.55,NA())</f>
        <v>#N/A</v>
      </c>
      <c r="T54" s="82" t="e">
        <f>IF(T$39,57.68,NA())</f>
        <v>#N/A</v>
      </c>
      <c r="U54" s="82">
        <f>IF(U$39,22.09,NA())</f>
        <v>22.09</v>
      </c>
      <c r="V54" s="82" t="e">
        <f>IF(V$39,62.55,NA())</f>
        <v>#N/A</v>
      </c>
      <c r="W54" s="82" t="e">
        <f>IF(W$39,60.66,NA())</f>
        <v>#N/A</v>
      </c>
      <c r="X54" s="82" t="e">
        <f>IF(X$39,66.77,NA())</f>
        <v>#N/A</v>
      </c>
      <c r="Y54" s="82" t="e">
        <f>IF(Y$39,55.26,NA())</f>
        <v>#N/A</v>
      </c>
      <c r="Z54" s="82">
        <f>IF(Z$39,17.17,NA())</f>
        <v>17.170000000000002</v>
      </c>
    </row>
    <row r="55" spans="1:26" x14ac:dyDescent="0.3">
      <c r="A55" s="81" t="s">
        <v>94</v>
      </c>
      <c r="B55" s="82">
        <f>IF(B$39,153.8,NA())</f>
        <v>153.80000000000001</v>
      </c>
      <c r="C55" s="82">
        <f>IF(C$39,105.47,NA())</f>
        <v>105.47</v>
      </c>
      <c r="D55" s="82">
        <f>IF(D$39,29.7,NA())</f>
        <v>29.7</v>
      </c>
      <c r="E55" s="82">
        <f>IF(E$39,39.84,NA())</f>
        <v>39.840000000000003</v>
      </c>
      <c r="F55" s="82">
        <f>IF(F$39,17.45,NA())</f>
        <v>17.45</v>
      </c>
      <c r="G55" s="82" t="e">
        <f>IF(G$39,70.81,NA())</f>
        <v>#N/A</v>
      </c>
      <c r="H55" s="82" t="e">
        <f>IF(H$39,38.13,NA())</f>
        <v>#N/A</v>
      </c>
      <c r="I55" s="82" t="e">
        <f>NA()</f>
        <v>#N/A</v>
      </c>
      <c r="J55" s="82" t="e">
        <f>IF(J$39,31.79,NA())</f>
        <v>#N/A</v>
      </c>
      <c r="K55" s="82" t="e">
        <f>IF(K$39,43.48,NA())</f>
        <v>#N/A</v>
      </c>
      <c r="L55" s="82" t="e">
        <f>IF(L$39,83.54,NA())</f>
        <v>#N/A</v>
      </c>
      <c r="M55" s="82">
        <f>IF(M$39,31.72,NA())</f>
        <v>31.72</v>
      </c>
      <c r="N55" s="82" t="e">
        <f>IF(N$39,27.82,NA())</f>
        <v>#N/A</v>
      </c>
      <c r="O55" s="82">
        <f>IF(O$39,28.05,NA())</f>
        <v>28.05</v>
      </c>
      <c r="P55" s="82" t="e">
        <f>IF(P$39,77.16,NA())</f>
        <v>#N/A</v>
      </c>
      <c r="Q55" s="82" t="e">
        <f>IF(Q$39,55.68,NA())</f>
        <v>#N/A</v>
      </c>
      <c r="R55" s="82" t="e">
        <f>IF(R$39,63.19,NA())</f>
        <v>#N/A</v>
      </c>
      <c r="S55" s="82" t="e">
        <f>IF(S$39,44.2,NA())</f>
        <v>#N/A</v>
      </c>
      <c r="T55" s="82" t="e">
        <f>IF(T$39,57.68,NA())</f>
        <v>#N/A</v>
      </c>
      <c r="U55" s="82">
        <f>IF(U$39,22.13,NA())</f>
        <v>22.13</v>
      </c>
      <c r="V55" s="82" t="e">
        <f>IF(V$39,62.65,NA())</f>
        <v>#N/A</v>
      </c>
      <c r="W55" s="82" t="e">
        <f>IF(W$39,59.95,NA())</f>
        <v>#N/A</v>
      </c>
      <c r="X55" s="82" t="e">
        <f>IF(X$39,71.47,NA())</f>
        <v>#N/A</v>
      </c>
      <c r="Y55" s="82" t="e">
        <f>IF(Y$39,54.18,NA())</f>
        <v>#N/A</v>
      </c>
      <c r="Z55" s="82">
        <f>IF(Z$39,18.16,NA())</f>
        <v>18.16</v>
      </c>
    </row>
    <row r="56" spans="1:26" x14ac:dyDescent="0.3">
      <c r="A56" s="81" t="s">
        <v>95</v>
      </c>
      <c r="B56" s="82">
        <f>IF(B$39,152.74,NA())</f>
        <v>152.74</v>
      </c>
      <c r="C56" s="82">
        <f>IF(C$39,102.97,NA())</f>
        <v>102.97</v>
      </c>
      <c r="D56" s="82">
        <f>IF(D$39,33.49,NA())</f>
        <v>33.49</v>
      </c>
      <c r="E56" s="82">
        <f>IF(E$39,43.2,NA())</f>
        <v>43.2</v>
      </c>
      <c r="F56" s="82">
        <f>IF(F$39,18.71,NA())</f>
        <v>18.71</v>
      </c>
      <c r="G56" s="82" t="e">
        <f>IF(G$39,71.3,NA())</f>
        <v>#N/A</v>
      </c>
      <c r="H56" s="82" t="e">
        <f>IF(H$39,39.99,NA())</f>
        <v>#N/A</v>
      </c>
      <c r="I56" s="82" t="e">
        <f>NA()</f>
        <v>#N/A</v>
      </c>
      <c r="J56" s="82" t="e">
        <f>IF(J$39,32.42,NA())</f>
        <v>#N/A</v>
      </c>
      <c r="K56" s="82" t="e">
        <f>IF(K$39,43.76,NA())</f>
        <v>#N/A</v>
      </c>
      <c r="L56" s="82" t="e">
        <f>IF(L$39,85.47,NA())</f>
        <v>#N/A</v>
      </c>
      <c r="M56" s="82">
        <f>IF(M$39,30.95,NA())</f>
        <v>30.95</v>
      </c>
      <c r="N56" s="82" t="e">
        <f>IF(N$39,27.38,NA())</f>
        <v>#N/A</v>
      </c>
      <c r="O56" s="82">
        <f>IF(O$39,28.58,NA())</f>
        <v>28.58</v>
      </c>
      <c r="P56" s="82" t="e">
        <f>IF(P$39,76.76,NA())</f>
        <v>#N/A</v>
      </c>
      <c r="Q56" s="82" t="e">
        <f>IF(Q$39,57.91,NA())</f>
        <v>#N/A</v>
      </c>
      <c r="R56" s="82" t="e">
        <f>IF(R$39,62.1,NA())</f>
        <v>#N/A</v>
      </c>
      <c r="S56" s="82" t="e">
        <f>IF(S$39,45.14,NA())</f>
        <v>#N/A</v>
      </c>
      <c r="T56" s="82" t="e">
        <f>IF(T$39,58.76,NA())</f>
        <v>#N/A</v>
      </c>
      <c r="U56" s="82">
        <f>IF(U$39,22.43,NA())</f>
        <v>22.43</v>
      </c>
      <c r="V56" s="82" t="e">
        <f>IF(V$39,64.69,NA())</f>
        <v>#N/A</v>
      </c>
      <c r="W56" s="82" t="e">
        <f>IF(W$39,61.52,NA())</f>
        <v>#N/A</v>
      </c>
      <c r="X56" s="82" t="e">
        <f>IF(X$39,73.61,NA())</f>
        <v>#N/A</v>
      </c>
      <c r="Y56" s="82" t="e">
        <f>IF(Y$39,55.04,NA())</f>
        <v>#N/A</v>
      </c>
      <c r="Z56" s="82">
        <f>IF(Z$39,20.14,NA())</f>
        <v>20.14</v>
      </c>
    </row>
    <row r="57" spans="1:26" x14ac:dyDescent="0.3">
      <c r="A57" s="81" t="s">
        <v>96</v>
      </c>
      <c r="B57" s="82">
        <f>IF(B$39,156.26,NA())</f>
        <v>156.26</v>
      </c>
      <c r="C57" s="82">
        <f>IF(C$39,101.9,NA())</f>
        <v>101.9</v>
      </c>
      <c r="D57" s="82">
        <f>IF(D$39,35.22,NA())</f>
        <v>35.22</v>
      </c>
      <c r="E57" s="82">
        <f>IF(E$39,47.52,NA())</f>
        <v>47.52</v>
      </c>
      <c r="F57" s="82">
        <f>IF(F$39,19.79,NA())</f>
        <v>19.79</v>
      </c>
      <c r="G57" s="82" t="e">
        <f>IF(G$39,71.3,NA())</f>
        <v>#N/A</v>
      </c>
      <c r="H57" s="82" t="e">
        <f>IF(H$39,40.52,NA())</f>
        <v>#N/A</v>
      </c>
      <c r="I57" s="82" t="e">
        <f>NA()</f>
        <v>#N/A</v>
      </c>
      <c r="J57" s="82" t="e">
        <f>IF(J$39,34.43,NA())</f>
        <v>#N/A</v>
      </c>
      <c r="K57" s="82" t="e">
        <f>IF(K$39,43.21,NA())</f>
        <v>#N/A</v>
      </c>
      <c r="L57" s="82" t="e">
        <f>IF(L$39,88.5,NA())</f>
        <v>#N/A</v>
      </c>
      <c r="M57" s="82">
        <f>IF(M$39,32.11,NA())</f>
        <v>32.11</v>
      </c>
      <c r="N57" s="82" t="e">
        <f>IF(N$39,26.05,NA())</f>
        <v>#N/A</v>
      </c>
      <c r="O57" s="82">
        <f>IF(O$39,29.54,NA())</f>
        <v>29.54</v>
      </c>
      <c r="P57" s="82" t="e">
        <f>IF(P$39,81.11,NA())</f>
        <v>#N/A</v>
      </c>
      <c r="Q57" s="82" t="e">
        <f>IF(Q$39,61.48,NA())</f>
        <v>#N/A</v>
      </c>
      <c r="R57" s="82" t="e">
        <f>IF(R$39,63.6,NA())</f>
        <v>#N/A</v>
      </c>
      <c r="S57" s="82" t="e">
        <f>IF(S$39,47.59,NA())</f>
        <v>#N/A</v>
      </c>
      <c r="T57" s="82" t="e">
        <f>IF(T$39,59.83,NA())</f>
        <v>#N/A</v>
      </c>
      <c r="U57" s="82">
        <f>IF(U$39,22.6,NA())</f>
        <v>22.6</v>
      </c>
      <c r="V57" s="82" t="e">
        <f>IF(V$39,66.42,NA())</f>
        <v>#N/A</v>
      </c>
      <c r="W57" s="82" t="e">
        <f>IF(W$39,58.38,NA())</f>
        <v>#N/A</v>
      </c>
      <c r="X57" s="82" t="e">
        <f>IF(X$39,74.04,NA())</f>
        <v>#N/A</v>
      </c>
      <c r="Y57" s="82" t="e">
        <f>IF(Y$39,56.88,NA())</f>
        <v>#N/A</v>
      </c>
      <c r="Z57" s="82">
        <f>IF(Z$39,20.14,NA())</f>
        <v>20.14</v>
      </c>
    </row>
    <row r="58" spans="1:26" x14ac:dyDescent="0.3">
      <c r="A58" s="81" t="s">
        <v>97</v>
      </c>
      <c r="B58" s="82">
        <f>IF(B$39,158.55,NA())</f>
        <v>158.55000000000001</v>
      </c>
      <c r="C58" s="82">
        <f>IF(C$39,102.97,NA())</f>
        <v>102.97</v>
      </c>
      <c r="D58" s="82">
        <f>IF(D$39,35.22,NA())</f>
        <v>35.22</v>
      </c>
      <c r="E58" s="82">
        <f>IF(E$39,49.92,NA())</f>
        <v>49.92</v>
      </c>
      <c r="F58" s="82">
        <f>IF(F$39,19.61,NA())</f>
        <v>19.61</v>
      </c>
      <c r="G58" s="82" t="e">
        <f>IF(G$39,68.64,NA())</f>
        <v>#N/A</v>
      </c>
      <c r="H58" s="82" t="e">
        <f>IF(H$39,40.52,NA())</f>
        <v>#N/A</v>
      </c>
      <c r="I58" s="82" t="e">
        <f>NA()</f>
        <v>#N/A</v>
      </c>
      <c r="J58" s="82" t="e">
        <f>IF(J$39,36.31,NA())</f>
        <v>#N/A</v>
      </c>
      <c r="K58" s="82" t="e">
        <f>IF(K$39,44.03,NA())</f>
        <v>#N/A</v>
      </c>
      <c r="L58" s="82" t="e">
        <f>IF(L$39,88.78,NA())</f>
        <v>#N/A</v>
      </c>
      <c r="M58" s="82">
        <f>IF(M$39,30.56,NA())</f>
        <v>30.56</v>
      </c>
      <c r="N58" s="82" t="e">
        <f>IF(N$39,23.4,NA())</f>
        <v>#N/A</v>
      </c>
      <c r="O58" s="82">
        <f>IF(O$39,30.07,NA())</f>
        <v>30.07</v>
      </c>
      <c r="P58" s="82" t="e">
        <f>IF(P$39,80.51,NA())</f>
        <v>#N/A</v>
      </c>
      <c r="Q58" s="82" t="e">
        <f>IF(Q$39,64.01,NA())</f>
        <v>#N/A</v>
      </c>
      <c r="R58" s="82" t="e">
        <f>IF(R$39,66.07,NA())</f>
        <v>#N/A</v>
      </c>
      <c r="S58" s="82" t="e">
        <f>IF(S$39,48.1,NA())</f>
        <v>#N/A</v>
      </c>
      <c r="T58" s="82" t="e">
        <f>IF(T$39,59.12,NA())</f>
        <v>#N/A</v>
      </c>
      <c r="U58" s="82">
        <f>IF(U$39,23.54,NA())</f>
        <v>23.54</v>
      </c>
      <c r="V58" s="82" t="e">
        <f>IF(V$39,66.22,NA())</f>
        <v>#N/A</v>
      </c>
      <c r="W58" s="82" t="e">
        <f>IF(W$39,57.67,NA())</f>
        <v>#N/A</v>
      </c>
      <c r="X58" s="82" t="e">
        <f>IF(X$39,72.33,NA())</f>
        <v>#N/A</v>
      </c>
      <c r="Y58" s="82" t="e">
        <f>IF(Y$39,57.42,NA())</f>
        <v>#N/A</v>
      </c>
      <c r="Z58" s="82">
        <f>IF(Z$39,20.8,NA())</f>
        <v>20.8</v>
      </c>
    </row>
    <row r="59" spans="1:26" x14ac:dyDescent="0.3">
      <c r="A59" s="81" t="s">
        <v>98</v>
      </c>
      <c r="B59" s="82">
        <f>IF(B$39,163.3,NA())</f>
        <v>163.30000000000001</v>
      </c>
      <c r="C59" s="82">
        <f>IF(C$39,104.76,NA())</f>
        <v>104.76</v>
      </c>
      <c r="D59" s="82">
        <f>IF(D$39,36.6,NA())</f>
        <v>36.6</v>
      </c>
      <c r="E59" s="82">
        <f>IF(E$39,50.88,NA())</f>
        <v>50.88</v>
      </c>
      <c r="F59" s="82">
        <f>IF(F$39,19.97,NA())</f>
        <v>19.97</v>
      </c>
      <c r="G59" s="82" t="e">
        <f>IF(G$39,66.46,NA())</f>
        <v>#N/A</v>
      </c>
      <c r="H59" s="82" t="e">
        <f>IF(H$39,40.52,NA())</f>
        <v>#N/A</v>
      </c>
      <c r="I59" s="82" t="e">
        <f>NA()</f>
        <v>#N/A</v>
      </c>
      <c r="J59" s="82" t="e">
        <f>IF(J$39,38.57,NA())</f>
        <v>#N/A</v>
      </c>
      <c r="K59" s="82" t="e">
        <f>IF(K$39,46.78,NA())</f>
        <v>#N/A</v>
      </c>
      <c r="L59" s="82" t="e">
        <f>IF(L$39,94.02,NA())</f>
        <v>#N/A</v>
      </c>
      <c r="M59" s="82">
        <f>IF(M$39,30.17,NA())</f>
        <v>30.17</v>
      </c>
      <c r="N59" s="82" t="e">
        <f>IF(N$39,24.73,NA())</f>
        <v>#N/A</v>
      </c>
      <c r="O59" s="82">
        <f>IF(O$39,31.77,NA())</f>
        <v>31.77</v>
      </c>
      <c r="P59" s="82" t="e">
        <f>IF(P$39,81.89,NA())</f>
        <v>#N/A</v>
      </c>
      <c r="Q59" s="82" t="e">
        <f>IF(Q$39,65.2,NA())</f>
        <v>#N/A</v>
      </c>
      <c r="R59" s="82" t="e">
        <f>IF(R$39,65.8,NA())</f>
        <v>#N/A</v>
      </c>
      <c r="S59" s="82" t="e">
        <f>IF(S$39,50.7,NA())</f>
        <v>#N/A</v>
      </c>
      <c r="T59" s="82" t="e">
        <f>IF(T$39,58.76,NA())</f>
        <v>#N/A</v>
      </c>
      <c r="U59" s="82">
        <f>IF(U$39,24.48,NA())</f>
        <v>24.48</v>
      </c>
      <c r="V59" s="82" t="e">
        <f>IF(V$39,66.93,NA())</f>
        <v>#N/A</v>
      </c>
      <c r="W59" s="82" t="e">
        <f>IF(W$39,58.1,NA())</f>
        <v>#N/A</v>
      </c>
      <c r="X59" s="82" t="e">
        <f>IF(X$39,73.61,NA())</f>
        <v>#N/A</v>
      </c>
      <c r="Y59" s="82" t="e">
        <f>IF(Y$39,56.77,NA())</f>
        <v>#N/A</v>
      </c>
      <c r="Z59" s="82">
        <f>IF(Z$39,21.13,NA())</f>
        <v>21.13</v>
      </c>
    </row>
    <row r="60" spans="1:26" x14ac:dyDescent="0.3">
      <c r="A60" s="81" t="s">
        <v>99</v>
      </c>
      <c r="B60" s="82">
        <f>IF(B$39,165.77,NA())</f>
        <v>165.77</v>
      </c>
      <c r="C60" s="82">
        <f>IF(C$39,104.04,NA())</f>
        <v>104.04</v>
      </c>
      <c r="D60" s="82">
        <f>IF(D$39,37.98,NA())</f>
        <v>37.979999999999997</v>
      </c>
      <c r="E60" s="82">
        <f>IF(E$39,48.96,NA())</f>
        <v>48.96</v>
      </c>
      <c r="F60" s="82">
        <f>IF(F$39,23.38,NA())</f>
        <v>23.38</v>
      </c>
      <c r="G60" s="82" t="e">
        <f>IF(G$39,63.8,NA())</f>
        <v>#N/A</v>
      </c>
      <c r="H60" s="82" t="e">
        <f>IF(H$39,41.98,NA())</f>
        <v>#N/A</v>
      </c>
      <c r="I60" s="82" t="e">
        <f>NA()</f>
        <v>#N/A</v>
      </c>
      <c r="J60" s="82" t="e">
        <f>IF(J$39,39.7,NA())</f>
        <v>#N/A</v>
      </c>
      <c r="K60" s="82" t="e">
        <f>IF(K$39,46.36,NA())</f>
        <v>#N/A</v>
      </c>
      <c r="L60" s="82" t="e">
        <f>IF(L$39,97.33,NA())</f>
        <v>#N/A</v>
      </c>
      <c r="M60" s="82">
        <f>IF(M$39,30.95,NA())</f>
        <v>30.95</v>
      </c>
      <c r="N60" s="82" t="e">
        <f>IF(N$39,23.4,NA())</f>
        <v>#N/A</v>
      </c>
      <c r="O60" s="82">
        <f>IF(O$39,33.47,NA())</f>
        <v>33.47</v>
      </c>
      <c r="P60" s="82" t="e">
        <f>IF(P$39,82.29,NA())</f>
        <v>#N/A</v>
      </c>
      <c r="Q60" s="82" t="e">
        <f>IF(Q$39,67.73,NA())</f>
        <v>#N/A</v>
      </c>
      <c r="R60" s="82" t="e">
        <f>IF(R$39,65.66,NA())</f>
        <v>#N/A</v>
      </c>
      <c r="S60" s="82" t="e">
        <f>IF(S$39,50.19,NA())</f>
        <v>#N/A</v>
      </c>
      <c r="T60" s="82" t="e">
        <f>IF(T$39,58.4,NA())</f>
        <v>#N/A</v>
      </c>
      <c r="U60" s="82">
        <f>IF(U$39,25.04,NA())</f>
        <v>25.04</v>
      </c>
      <c r="V60" s="82" t="e">
        <f>IF(V$39,68.25,NA())</f>
        <v>#N/A</v>
      </c>
      <c r="W60" s="82" t="e">
        <f>IF(W$39,60.23,NA())</f>
        <v>#N/A</v>
      </c>
      <c r="X60" s="82" t="e">
        <f>IF(X$39,76.18,NA())</f>
        <v>#N/A</v>
      </c>
      <c r="Y60" s="82" t="e">
        <f>IF(Y$39,57.31,NA())</f>
        <v>#N/A</v>
      </c>
      <c r="Z60" s="82">
        <f>IF(Z$39,22.12,NA())</f>
        <v>22.12</v>
      </c>
    </row>
    <row r="61" spans="1:26" x14ac:dyDescent="0.3">
      <c r="A61" s="81" t="s">
        <v>100</v>
      </c>
      <c r="B61" s="82">
        <f>IF(B$39,162.42,NA())</f>
        <v>162.41999999999999</v>
      </c>
      <c r="C61" s="82">
        <f>IF(C$39,104.76,NA())</f>
        <v>104.76</v>
      </c>
      <c r="D61" s="82">
        <f>IF(D$39,39.71,NA())</f>
        <v>39.71</v>
      </c>
      <c r="E61" s="82">
        <f>IF(E$39,49.44,NA())</f>
        <v>49.44</v>
      </c>
      <c r="F61" s="82">
        <f>IF(F$39,25.18,NA())</f>
        <v>25.18</v>
      </c>
      <c r="G61" s="82" t="e">
        <f>IF(G$39,60.78,NA())</f>
        <v>#N/A</v>
      </c>
      <c r="H61" s="82" t="e">
        <f>IF(H$39,41.71,NA())</f>
        <v>#N/A</v>
      </c>
      <c r="I61" s="82" t="e">
        <f>NA()</f>
        <v>#N/A</v>
      </c>
      <c r="J61" s="82" t="e">
        <f>IF(J$39,39.83,NA())</f>
        <v>#N/A</v>
      </c>
      <c r="K61" s="82" t="e">
        <f>IF(K$39,48.97,NA())</f>
        <v>#N/A</v>
      </c>
      <c r="L61" s="82" t="e">
        <f>IF(L$39,100.36,NA())</f>
        <v>#N/A</v>
      </c>
      <c r="M61" s="82">
        <f>IF(M$39,32.88,NA())</f>
        <v>32.880000000000003</v>
      </c>
      <c r="N61" s="82" t="e">
        <f>IF(N$39,24.28,NA())</f>
        <v>#N/A</v>
      </c>
      <c r="O61" s="82">
        <f>IF(O$39,36.13,NA())</f>
        <v>36.130000000000003</v>
      </c>
      <c r="P61" s="82" t="e">
        <f>IF(P$39,83.28,NA())</f>
        <v>#N/A</v>
      </c>
      <c r="Q61" s="82" t="e">
        <f>IF(Q$39,68.03,NA())</f>
        <v>#N/A</v>
      </c>
      <c r="R61" s="82" t="e">
        <f>IF(R$39,67.17,NA())</f>
        <v>#N/A</v>
      </c>
      <c r="S61" s="82" t="e">
        <f>IF(S$39,52.07,NA())</f>
        <v>#N/A</v>
      </c>
      <c r="T61" s="82" t="e">
        <f>IF(T$39,58.04,NA())</f>
        <v>#N/A</v>
      </c>
      <c r="U61" s="82">
        <f>IF(U$39,25.3,NA())</f>
        <v>25.3</v>
      </c>
      <c r="V61" s="82" t="e">
        <f>IF(V$39,71.51,NA())</f>
        <v>#N/A</v>
      </c>
      <c r="W61" s="82" t="e">
        <f>IF(W$39,59.38,NA())</f>
        <v>#N/A</v>
      </c>
      <c r="X61" s="82" t="e">
        <f>IF(X$39,79.18,NA())</f>
        <v>#N/A</v>
      </c>
      <c r="Y61" s="82" t="e">
        <f>IF(Y$39,58.39,NA())</f>
        <v>#N/A</v>
      </c>
      <c r="Z61" s="82">
        <f>IF(Z$39,23.44,NA())</f>
        <v>23.44</v>
      </c>
    </row>
    <row r="62" spans="1:26" x14ac:dyDescent="0.3">
      <c r="A62" s="81" t="s">
        <v>101</v>
      </c>
      <c r="B62" s="82">
        <f>IF(B$39,159.96,NA())</f>
        <v>159.96</v>
      </c>
      <c r="C62" s="82">
        <f>IF(C$39,106.54,NA())</f>
        <v>106.54</v>
      </c>
      <c r="D62" s="82">
        <f>IF(D$39,39.02,NA())</f>
        <v>39.020000000000003</v>
      </c>
      <c r="E62" s="82">
        <f>IF(E$39,49.44,NA())</f>
        <v>49.44</v>
      </c>
      <c r="F62" s="82">
        <f>IF(F$39,27.88,NA())</f>
        <v>27.88</v>
      </c>
      <c r="G62" s="82" t="e">
        <f>IF(G$39,61.51,NA())</f>
        <v>#N/A</v>
      </c>
      <c r="H62" s="82" t="e">
        <f>IF(H$39,42.51,NA())</f>
        <v>#N/A</v>
      </c>
      <c r="I62" s="82" t="e">
        <f>NA()</f>
        <v>#N/A</v>
      </c>
      <c r="J62" s="82" t="e">
        <f>IF(J$39,42.47,NA())</f>
        <v>#N/A</v>
      </c>
      <c r="K62" s="82" t="e">
        <f>IF(K$39,50.48,NA())</f>
        <v>#N/A</v>
      </c>
      <c r="L62" s="82" t="e">
        <f>IF(L$39,102.84,NA())</f>
        <v>#N/A</v>
      </c>
      <c r="M62" s="82">
        <f>IF(M$39,33.27,NA())</f>
        <v>33.270000000000003</v>
      </c>
      <c r="N62" s="82" t="e">
        <f>IF(N$39,25.17,NA())</f>
        <v>#N/A</v>
      </c>
      <c r="O62" s="82">
        <f>IF(O$39,35.81,NA())</f>
        <v>35.81</v>
      </c>
      <c r="P62" s="82" t="e">
        <f>IF(P$39,84.46,NA())</f>
        <v>#N/A</v>
      </c>
      <c r="Q62" s="82" t="e">
        <f>IF(Q$39,69.07,NA())</f>
        <v>#N/A</v>
      </c>
      <c r="R62" s="82" t="e">
        <f>IF(R$39,68.68,NA())</f>
        <v>#N/A</v>
      </c>
      <c r="S62" s="82" t="e">
        <f>IF(S$39,52.93,NA())</f>
        <v>#N/A</v>
      </c>
      <c r="T62" s="82" t="e">
        <f>IF(T$39,56.97,NA())</f>
        <v>#N/A</v>
      </c>
      <c r="U62" s="82">
        <f>IF(U$39,26.49,NA())</f>
        <v>26.49</v>
      </c>
      <c r="V62" s="82" t="e">
        <f>IF(V$39,73.35,NA())</f>
        <v>#N/A</v>
      </c>
      <c r="W62" s="82" t="e">
        <f>IF(W$39,61.66,NA())</f>
        <v>#N/A</v>
      </c>
      <c r="X62" s="82" t="e">
        <f>IF(X$39,79.6,NA())</f>
        <v>#N/A</v>
      </c>
      <c r="Y62" s="82" t="e">
        <f>IF(Y$39,58.39,NA())</f>
        <v>#N/A</v>
      </c>
      <c r="Z62" s="82">
        <f>IF(Z$39,24.43,NA())</f>
        <v>24.43</v>
      </c>
    </row>
    <row r="63" spans="1:26" x14ac:dyDescent="0.3">
      <c r="A63" s="81" t="s">
        <v>102</v>
      </c>
      <c r="B63" s="82">
        <f>IF(B$39,155.56,NA())</f>
        <v>155.56</v>
      </c>
      <c r="C63" s="82">
        <f>IF(C$39,104.04,NA())</f>
        <v>104.04</v>
      </c>
      <c r="D63" s="82">
        <f>IF(D$39,41.78,NA())</f>
        <v>41.78</v>
      </c>
      <c r="E63" s="82">
        <f>IF(E$39,51.84,NA())</f>
        <v>51.84</v>
      </c>
      <c r="F63" s="82">
        <f>IF(F$39,30.4,NA())</f>
        <v>30.4</v>
      </c>
      <c r="G63" s="82" t="e">
        <f>IF(G$39,62.23,NA())</f>
        <v>#N/A</v>
      </c>
      <c r="H63" s="82" t="e">
        <f>IF(H$39,45.03,NA())</f>
        <v>#N/A</v>
      </c>
      <c r="I63" s="82" t="e">
        <f>NA()</f>
        <v>#N/A</v>
      </c>
      <c r="J63" s="82" t="e">
        <f>IF(J$39,43.85,NA())</f>
        <v>#N/A</v>
      </c>
      <c r="K63" s="82" t="e">
        <f>IF(K$39,49.79,NA())</f>
        <v>#N/A</v>
      </c>
      <c r="L63" s="82" t="e">
        <f>IF(L$39,105.87,NA())</f>
        <v>#N/A</v>
      </c>
      <c r="M63" s="82">
        <f>IF(M$39,34.04,NA())</f>
        <v>34.04</v>
      </c>
      <c r="N63" s="82" t="e">
        <f>IF(N$39,23.4,NA())</f>
        <v>#N/A</v>
      </c>
      <c r="O63" s="82">
        <f>IF(O$39,35.81,NA())</f>
        <v>35.81</v>
      </c>
      <c r="P63" s="82" t="e">
        <f>IF(P$39,85.45,NA())</f>
        <v>#N/A</v>
      </c>
      <c r="Q63" s="82" t="e">
        <f>IF(Q$39,70.26,NA())</f>
        <v>#N/A</v>
      </c>
      <c r="R63" s="82" t="e">
        <f>IF(R$39,71.14,NA())</f>
        <v>#N/A</v>
      </c>
      <c r="S63" s="82" t="e">
        <f>IF(S$39,54.74,NA())</f>
        <v>#N/A</v>
      </c>
      <c r="T63" s="82" t="e">
        <f>IF(T$39,58.04,NA())</f>
        <v>#N/A</v>
      </c>
      <c r="U63" s="82">
        <f>IF(U$39,27.31,NA())</f>
        <v>27.31</v>
      </c>
      <c r="V63" s="82" t="e">
        <f>IF(V$39,73.25,NA())</f>
        <v>#N/A</v>
      </c>
      <c r="W63" s="82" t="e">
        <f>IF(W$39,60.95,NA())</f>
        <v>#N/A</v>
      </c>
      <c r="X63" s="82" t="e">
        <f>IF(X$39,83.46,NA())</f>
        <v>#N/A</v>
      </c>
      <c r="Y63" s="82" t="e">
        <f>IF(Y$39,60.67,NA())</f>
        <v>#N/A</v>
      </c>
      <c r="Z63" s="82">
        <f>IF(Z$39,25.09,NA())</f>
        <v>25.09</v>
      </c>
    </row>
    <row r="64" spans="1:26" x14ac:dyDescent="0.3">
      <c r="A64" s="81" t="s">
        <v>103</v>
      </c>
      <c r="B64" s="82">
        <f>IF(B$39,153.8,NA())</f>
        <v>153.80000000000001</v>
      </c>
      <c r="C64" s="82">
        <f>IF(C$39,102.61,NA())</f>
        <v>102.61</v>
      </c>
      <c r="D64" s="82">
        <f>IF(D$39,43.16,NA())</f>
        <v>43.16</v>
      </c>
      <c r="E64" s="82">
        <f>IF(E$39,54.72,NA())</f>
        <v>54.72</v>
      </c>
      <c r="F64" s="82">
        <f>IF(F$39,32.02,NA())</f>
        <v>32.020000000000003</v>
      </c>
      <c r="G64" s="82" t="e">
        <f>IF(G$39,65.01,NA())</f>
        <v>#N/A</v>
      </c>
      <c r="H64" s="82" t="e">
        <f>IF(H$39,45.83,NA())</f>
        <v>#N/A</v>
      </c>
      <c r="I64" s="82" t="e">
        <f>NA()</f>
        <v>#N/A</v>
      </c>
      <c r="J64" s="82" t="e">
        <f>IF(J$39,43.47,NA())</f>
        <v>#N/A</v>
      </c>
      <c r="K64" s="82" t="e">
        <f>IF(K$39,50.07,NA())</f>
        <v>#N/A</v>
      </c>
      <c r="L64" s="82" t="e">
        <f>IF(L$39,108.35,NA())</f>
        <v>#N/A</v>
      </c>
      <c r="M64" s="82">
        <f>IF(M$39,35.97,NA())</f>
        <v>35.97</v>
      </c>
      <c r="N64" s="82" t="e">
        <f>IF(N$39,24.28,NA())</f>
        <v>#N/A</v>
      </c>
      <c r="O64" s="82">
        <f>IF(O$39,35.28,NA())</f>
        <v>35.28</v>
      </c>
      <c r="P64" s="82" t="e">
        <f>IF(P$39,90.97,NA())</f>
        <v>#N/A</v>
      </c>
      <c r="Q64" s="82" t="e">
        <f>IF(Q$39,69.37,NA())</f>
        <v>#N/A</v>
      </c>
      <c r="R64" s="82" t="e">
        <f>IF(R$39,71.83,NA())</f>
        <v>#N/A</v>
      </c>
      <c r="S64" s="82" t="e">
        <f>IF(S$39,56.69,NA())</f>
        <v>#N/A</v>
      </c>
      <c r="T64" s="82" t="e">
        <f>IF(T$39,55.89,NA())</f>
        <v>#N/A</v>
      </c>
      <c r="U64" s="82">
        <f>IF(U$39,27.9,NA())</f>
        <v>27.9</v>
      </c>
      <c r="V64" s="82" t="e">
        <f>IF(V$39,74.98,NA())</f>
        <v>#N/A</v>
      </c>
      <c r="W64" s="82" t="e">
        <f>IF(W$39,62.23,NA())</f>
        <v>#N/A</v>
      </c>
      <c r="X64" s="82" t="e">
        <f>IF(X$39,87.31,NA())</f>
        <v>#N/A</v>
      </c>
      <c r="Y64" s="82" t="e">
        <f>IF(Y$39,64.34,NA())</f>
        <v>#N/A</v>
      </c>
      <c r="Z64" s="82">
        <f>IF(Z$39,27.4,NA())</f>
        <v>27.4</v>
      </c>
    </row>
    <row r="65" spans="1:26" x14ac:dyDescent="0.3">
      <c r="A65" s="81" t="s">
        <v>104</v>
      </c>
      <c r="B65" s="82">
        <f>IF(B$39,154.33,NA())</f>
        <v>154.33000000000001</v>
      </c>
      <c r="C65" s="82">
        <f>IF(C$39,101.54,NA())</f>
        <v>101.54</v>
      </c>
      <c r="D65" s="82">
        <f>IF(D$39,42.13,NA())</f>
        <v>42.13</v>
      </c>
      <c r="E65" s="82">
        <f>IF(E$39,57.6,NA())</f>
        <v>57.6</v>
      </c>
      <c r="F65" s="82">
        <f>IF(F$39,33.1,NA())</f>
        <v>33.1</v>
      </c>
      <c r="G65" s="82" t="e">
        <f>IF(G$39,66.95,NA())</f>
        <v>#N/A</v>
      </c>
      <c r="H65" s="82" t="e">
        <f>IF(H$39,45.96,NA())</f>
        <v>#N/A</v>
      </c>
      <c r="I65" s="82" t="e">
        <f>NA()</f>
        <v>#N/A</v>
      </c>
      <c r="J65" s="82" t="e">
        <f>IF(J$39,45.23,NA())</f>
        <v>#N/A</v>
      </c>
      <c r="K65" s="82" t="e">
        <f>IF(K$39,49.93,NA())</f>
        <v>#N/A</v>
      </c>
      <c r="L65" s="82" t="e">
        <f>IF(L$39,105.32,NA())</f>
        <v>#N/A</v>
      </c>
      <c r="M65" s="82">
        <f>IF(M$39,37.13,NA())</f>
        <v>37.130000000000003</v>
      </c>
      <c r="N65" s="82" t="e">
        <f>IF(N$39,28.26,NA())</f>
        <v>#N/A</v>
      </c>
      <c r="O65" s="82">
        <f>IF(O$39,36.23,NA())</f>
        <v>36.229999999999997</v>
      </c>
      <c r="P65" s="82" t="e">
        <f>IF(P$39,89.39,NA())</f>
        <v>#N/A</v>
      </c>
      <c r="Q65" s="82" t="e">
        <f>IF(Q$39,70.26,NA())</f>
        <v>#N/A</v>
      </c>
      <c r="R65" s="82" t="e">
        <f>IF(R$39,72.51,NA())</f>
        <v>#N/A</v>
      </c>
      <c r="S65" s="82" t="e">
        <f>IF(S$39,58.93,NA())</f>
        <v>#N/A</v>
      </c>
      <c r="T65" s="82" t="e">
        <f>IF(T$39,55.53,NA())</f>
        <v>#N/A</v>
      </c>
      <c r="U65" s="82">
        <f>IF(U$39,28.5,NA())</f>
        <v>28.5</v>
      </c>
      <c r="V65" s="82" t="e">
        <f>IF(V$39,74.37,NA())</f>
        <v>#N/A</v>
      </c>
      <c r="W65" s="82" t="e">
        <f>IF(W$39,64.08,NA())</f>
        <v>#N/A</v>
      </c>
      <c r="X65" s="82" t="e">
        <f>IF(X$39,91.16,NA())</f>
        <v>#N/A</v>
      </c>
      <c r="Y65" s="82" t="e">
        <f>IF(Y$39,65.96,NA())</f>
        <v>#N/A</v>
      </c>
      <c r="Z65" s="82">
        <f>IF(Z$39,30.37,NA())</f>
        <v>30.37</v>
      </c>
    </row>
    <row r="66" spans="1:26" x14ac:dyDescent="0.3">
      <c r="A66" s="81" t="s">
        <v>105</v>
      </c>
      <c r="B66" s="82">
        <f>IF(B$39,152.04,NA())</f>
        <v>152.04</v>
      </c>
      <c r="C66" s="82">
        <f>IF(C$39,104.04,NA())</f>
        <v>104.04</v>
      </c>
      <c r="D66" s="82">
        <f>IF(D$39,41.09,NA())</f>
        <v>41.09</v>
      </c>
      <c r="E66" s="82">
        <f>IF(E$39,56.16,NA())</f>
        <v>56.16</v>
      </c>
      <c r="F66" s="82">
        <f>IF(F$39,34.72,NA())</f>
        <v>34.72</v>
      </c>
      <c r="G66" s="82" t="e">
        <f>IF(G$39,64.89,NA())</f>
        <v>#N/A</v>
      </c>
      <c r="H66" s="82" t="e">
        <f>IF(H$39,46.36,NA())</f>
        <v>#N/A</v>
      </c>
      <c r="I66" s="82" t="e">
        <f>NA()</f>
        <v>#N/A</v>
      </c>
      <c r="J66" s="82" t="e">
        <f>IF(J$39,47.12,NA())</f>
        <v>#N/A</v>
      </c>
      <c r="K66" s="82" t="e">
        <f>IF(K$39,48.42,NA())</f>
        <v>#N/A</v>
      </c>
      <c r="L66" s="82" t="e">
        <f>IF(L$39,107.25,NA())</f>
        <v>#N/A</v>
      </c>
      <c r="M66" s="82">
        <f>IF(M$39,33.27,NA())</f>
        <v>33.270000000000003</v>
      </c>
      <c r="N66" s="82" t="e">
        <f>IF(N$39,27.82,NA())</f>
        <v>#N/A</v>
      </c>
      <c r="O66" s="82">
        <f>IF(O$39,37.4,NA())</f>
        <v>37.4</v>
      </c>
      <c r="P66" s="82" t="e">
        <f>IF(P$39,85.05,NA())</f>
        <v>#N/A</v>
      </c>
      <c r="Q66" s="82" t="e">
        <f>IF(Q$39,69.97,NA())</f>
        <v>#N/A</v>
      </c>
      <c r="R66" s="82" t="e">
        <f>IF(R$39,71.56,NA())</f>
        <v>#N/A</v>
      </c>
      <c r="S66" s="82" t="e">
        <f>IF(S$39,58.28,NA())</f>
        <v>#N/A</v>
      </c>
      <c r="T66" s="82" t="e">
        <f>IF(T$39,55.89,NA())</f>
        <v>#N/A</v>
      </c>
      <c r="U66" s="82">
        <f>IF(U$39,28.8,NA())</f>
        <v>28.8</v>
      </c>
      <c r="V66" s="82" t="e">
        <f>IF(V$39,73.76,NA())</f>
        <v>#N/A</v>
      </c>
      <c r="W66" s="82" t="e">
        <f>IF(W$39,63.51,NA())</f>
        <v>#N/A</v>
      </c>
      <c r="X66" s="82" t="e">
        <f>IF(X$39,90.3,NA())</f>
        <v>#N/A</v>
      </c>
      <c r="Y66" s="82" t="e">
        <f>IF(Y$39,68.88,NA())</f>
        <v>#N/A</v>
      </c>
      <c r="Z66" s="82">
        <f>IF(Z$39,32.02,NA())</f>
        <v>32.020000000000003</v>
      </c>
    </row>
    <row r="67" spans="1:26" x14ac:dyDescent="0.3">
      <c r="A67" s="81" t="s">
        <v>106</v>
      </c>
      <c r="B67" s="82">
        <f>IF(B$39,150.28,NA())</f>
        <v>150.28</v>
      </c>
      <c r="C67" s="82">
        <f>IF(C$39,104.04,NA())</f>
        <v>104.04</v>
      </c>
      <c r="D67" s="82">
        <f>IF(D$39,42.82,NA())</f>
        <v>42.82</v>
      </c>
      <c r="E67" s="82">
        <f>IF(E$39,56.64,NA())</f>
        <v>56.64</v>
      </c>
      <c r="F67" s="82">
        <f>IF(F$39,36.69,NA())</f>
        <v>36.69</v>
      </c>
      <c r="G67" s="82" t="e">
        <f>IF(G$39,63.68,NA())</f>
        <v>#N/A</v>
      </c>
      <c r="H67" s="82" t="e">
        <f>IF(H$39,47.69,NA())</f>
        <v>#N/A</v>
      </c>
      <c r="I67" s="82" t="e">
        <f>NA()</f>
        <v>#N/A</v>
      </c>
      <c r="J67" s="82" t="e">
        <f>IF(J$39,49.13,NA())</f>
        <v>#N/A</v>
      </c>
      <c r="K67" s="82" t="e">
        <f>IF(K$39,48.7,NA())</f>
        <v>#N/A</v>
      </c>
      <c r="L67" s="82" t="e">
        <f>IF(L$39,108.35,NA())</f>
        <v>#N/A</v>
      </c>
      <c r="M67" s="82">
        <f>IF(M$39,35.59,NA())</f>
        <v>35.590000000000003</v>
      </c>
      <c r="N67" s="82" t="e">
        <f>IF(N$39,26.05,NA())</f>
        <v>#N/A</v>
      </c>
      <c r="O67" s="82">
        <f>IF(O$39,38.25,NA())</f>
        <v>38.25</v>
      </c>
      <c r="P67" s="82" t="e">
        <f>IF(P$39,85.64,NA())</f>
        <v>#N/A</v>
      </c>
      <c r="Q67" s="82" t="e">
        <f>IF(Q$39,72.05,NA())</f>
        <v>#N/A</v>
      </c>
      <c r="R67" s="82" t="e">
        <f>IF(R$39,74.02,NA())</f>
        <v>#N/A</v>
      </c>
      <c r="S67" s="82" t="e">
        <f>IF(S$39,58.71,NA())</f>
        <v>#N/A</v>
      </c>
      <c r="T67" s="82" t="e">
        <f>IF(T$39,57.32,NA())</f>
        <v>#N/A</v>
      </c>
      <c r="U67" s="82">
        <f>IF(U$39,28.93,NA())</f>
        <v>28.93</v>
      </c>
      <c r="V67" s="82" t="e">
        <f>IF(V$39,76.91,NA())</f>
        <v>#N/A</v>
      </c>
      <c r="W67" s="82" t="e">
        <f>IF(W$39,64.08,NA())</f>
        <v>#N/A</v>
      </c>
      <c r="X67" s="82" t="e">
        <f>IF(X$39,91.59,NA())</f>
        <v>#N/A</v>
      </c>
      <c r="Y67" s="82" t="e">
        <f>IF(Y$39,71.37,NA())</f>
        <v>#N/A</v>
      </c>
      <c r="Z67" s="82">
        <f>IF(Z$39,32.68,NA())</f>
        <v>32.68</v>
      </c>
    </row>
    <row r="68" spans="1:26" x14ac:dyDescent="0.3">
      <c r="A68" s="81" t="s">
        <v>107</v>
      </c>
      <c r="B68" s="82">
        <f>IF(B$39,151.34,NA())</f>
        <v>151.34</v>
      </c>
      <c r="C68" s="82">
        <f>IF(C$39,107.26,NA())</f>
        <v>107.26</v>
      </c>
      <c r="D68" s="82">
        <f>IF(D$39,42.47,NA())</f>
        <v>42.47</v>
      </c>
      <c r="E68" s="82">
        <f>IF(E$39,57.12,NA())</f>
        <v>57.12</v>
      </c>
      <c r="F68" s="82">
        <f>IF(F$39,38.49,NA())</f>
        <v>38.49</v>
      </c>
      <c r="G68" s="82" t="e">
        <f>IF(G$39,61.87,NA())</f>
        <v>#N/A</v>
      </c>
      <c r="H68" s="82" t="e">
        <f>IF(H$39,47.16,NA())</f>
        <v>#N/A</v>
      </c>
      <c r="I68" s="82" t="e">
        <f>NA()</f>
        <v>#N/A</v>
      </c>
      <c r="J68" s="82" t="e">
        <f>IF(J$39,49.63,NA())</f>
        <v>#N/A</v>
      </c>
      <c r="K68" s="82" t="e">
        <f>IF(K$39,48.97,NA())</f>
        <v>#N/A</v>
      </c>
      <c r="L68" s="82" t="e">
        <f>IF(L$39,109.73,NA())</f>
        <v>#N/A</v>
      </c>
      <c r="M68" s="82">
        <f>IF(M$39,35.59,NA())</f>
        <v>35.590000000000003</v>
      </c>
      <c r="N68" s="82" t="e">
        <f>IF(N$39,29.14,NA())</f>
        <v>#N/A</v>
      </c>
      <c r="O68" s="82">
        <f>IF(O$39,37.83,NA())</f>
        <v>37.83</v>
      </c>
      <c r="P68" s="82" t="e">
        <f>IF(P$39,88.41,NA())</f>
        <v>#N/A</v>
      </c>
      <c r="Q68" s="82" t="e">
        <f>IF(Q$39,72.35,NA())</f>
        <v>#N/A</v>
      </c>
      <c r="R68" s="82" t="e">
        <f>IF(R$39,76.08,NA())</f>
        <v>#N/A</v>
      </c>
      <c r="S68" s="82" t="e">
        <f>IF(S$39,59.8,NA())</f>
        <v>#N/A</v>
      </c>
      <c r="T68" s="82" t="e">
        <f>IF(T$39,56.97,NA())</f>
        <v>#N/A</v>
      </c>
      <c r="U68" s="82">
        <f>IF(U$39,29.27,NA())</f>
        <v>29.27</v>
      </c>
      <c r="V68" s="82" t="e">
        <f>IF(V$39,77.83,NA())</f>
        <v>#N/A</v>
      </c>
      <c r="W68" s="82" t="e">
        <f>IF(W$39,63.51,NA())</f>
        <v>#N/A</v>
      </c>
      <c r="X68" s="82" t="e">
        <f>IF(X$39,91.16,NA())</f>
        <v>#N/A</v>
      </c>
      <c r="Y68" s="82" t="e">
        <f>IF(Y$39,70.94,NA())</f>
        <v>#N/A</v>
      </c>
      <c r="Z68" s="82">
        <f>IF(Z$39,33.67,NA())</f>
        <v>33.67</v>
      </c>
    </row>
    <row r="69" spans="1:26" x14ac:dyDescent="0.3">
      <c r="A69" s="81" t="s">
        <v>108</v>
      </c>
      <c r="B69" s="82">
        <f>IF(B$39,147.29,NA())</f>
        <v>147.29</v>
      </c>
      <c r="C69" s="82">
        <f>IF(C$39,104.04,NA())</f>
        <v>104.04</v>
      </c>
      <c r="D69" s="82">
        <f>IF(D$39,42.13,NA())</f>
        <v>42.13</v>
      </c>
      <c r="E69" s="82">
        <f>IF(E$39,54.72,NA())</f>
        <v>54.72</v>
      </c>
      <c r="F69" s="82">
        <f>IF(F$39,38.67,NA())</f>
        <v>38.67</v>
      </c>
      <c r="G69" s="82" t="e">
        <f>IF(G$39,61.87,NA())</f>
        <v>#N/A</v>
      </c>
      <c r="H69" s="82" t="e">
        <f>IF(H$39,46.63,NA())</f>
        <v>#N/A</v>
      </c>
      <c r="I69" s="82" t="e">
        <f>NA()</f>
        <v>#N/A</v>
      </c>
      <c r="J69" s="82" t="e">
        <f>IF(J$39,48.5,NA())</f>
        <v>#N/A</v>
      </c>
      <c r="K69" s="82" t="e">
        <f>IF(K$39,48.97,NA())</f>
        <v>#N/A</v>
      </c>
      <c r="L69" s="82" t="e">
        <f>IF(L$39,107.53,NA())</f>
        <v>#N/A</v>
      </c>
      <c r="M69" s="82">
        <f>IF(M$39,33.65,NA())</f>
        <v>33.65</v>
      </c>
      <c r="N69" s="82" t="e">
        <f>IF(N$39,29.58,NA())</f>
        <v>#N/A</v>
      </c>
      <c r="O69" s="82">
        <f>IF(O$39,37.29,NA())</f>
        <v>37.29</v>
      </c>
      <c r="P69" s="82" t="e">
        <f>IF(P$39,87.62,NA())</f>
        <v>#N/A</v>
      </c>
      <c r="Q69" s="82" t="e">
        <f>IF(Q$39,71.16,NA())</f>
        <v>#N/A</v>
      </c>
      <c r="R69" s="82" t="e">
        <f>IF(R$39,74.43,NA())</f>
        <v>#N/A</v>
      </c>
      <c r="S69" s="82" t="e">
        <f>IF(S$39,59.29,NA())</f>
        <v>#N/A</v>
      </c>
      <c r="T69" s="82" t="e">
        <f>IF(T$39,57.32,NA())</f>
        <v>#N/A</v>
      </c>
      <c r="U69" s="82">
        <f>IF(U$39,29.14,NA())</f>
        <v>29.14</v>
      </c>
      <c r="V69" s="82" t="e">
        <f>IF(V$39,76.1,NA())</f>
        <v>#N/A</v>
      </c>
      <c r="W69" s="82" t="e">
        <f>IF(W$39,64.51,NA())</f>
        <v>#N/A</v>
      </c>
      <c r="X69" s="82" t="e">
        <f>IF(X$39,92.02,NA())</f>
        <v>#N/A</v>
      </c>
      <c r="Y69" s="82" t="e">
        <f>IF(Y$39,70.72,NA())</f>
        <v>#N/A</v>
      </c>
      <c r="Z69" s="82">
        <f>IF(Z$39,35.98,NA())</f>
        <v>35.979999999999997</v>
      </c>
    </row>
    <row r="70" spans="1:26" x14ac:dyDescent="0.3">
      <c r="A70" s="81" t="s">
        <v>109</v>
      </c>
      <c r="B70" s="82">
        <f>IF(B$39,144.3,NA())</f>
        <v>144.30000000000001</v>
      </c>
      <c r="C70" s="82">
        <f>IF(C$39,100.11,NA())</f>
        <v>100.11</v>
      </c>
      <c r="D70" s="82">
        <f>IF(D$39,41.44,NA())</f>
        <v>41.44</v>
      </c>
      <c r="E70" s="82">
        <f>IF(E$39,52.8,NA())</f>
        <v>52.8</v>
      </c>
      <c r="F70" s="82">
        <f>IF(F$39,40.47,NA())</f>
        <v>40.47</v>
      </c>
      <c r="G70" s="82" t="e">
        <f>IF(G$39,61.27,NA())</f>
        <v>#N/A</v>
      </c>
      <c r="H70" s="82" t="e">
        <f>IF(H$39,47.16,NA())</f>
        <v>#N/A</v>
      </c>
      <c r="I70" s="82" t="e">
        <f>NA()</f>
        <v>#N/A</v>
      </c>
      <c r="J70" s="82" t="e">
        <f>IF(J$39,47.74,NA())</f>
        <v>#N/A</v>
      </c>
      <c r="K70" s="82" t="e">
        <f>IF(K$39,48.28,NA())</f>
        <v>#N/A</v>
      </c>
      <c r="L70" s="82" t="e">
        <f>IF(L$39,106.15,NA())</f>
        <v>#N/A</v>
      </c>
      <c r="M70" s="82">
        <f>IF(M$39,34.43,NA())</f>
        <v>34.43</v>
      </c>
      <c r="N70" s="82" t="e">
        <f>IF(N$39,30.47,NA())</f>
        <v>#N/A</v>
      </c>
      <c r="O70" s="82">
        <f>IF(O$39,35.81,NA())</f>
        <v>35.81</v>
      </c>
      <c r="P70" s="82" t="e">
        <f>IF(P$39,87.81,NA())</f>
        <v>#N/A</v>
      </c>
      <c r="Q70" s="82" t="e">
        <f>IF(Q$39,69.37,NA())</f>
        <v>#N/A</v>
      </c>
      <c r="R70" s="82" t="e">
        <f>IF(R$39,71.97,NA())</f>
        <v>#N/A</v>
      </c>
      <c r="S70" s="82" t="e">
        <f>IF(S$39,60.37,NA())</f>
        <v>#N/A</v>
      </c>
      <c r="T70" s="82" t="e">
        <f>IF(T$39,57.68,NA())</f>
        <v>#N/A</v>
      </c>
      <c r="U70" s="82">
        <f>IF(U$39,29.01,NA())</f>
        <v>29.01</v>
      </c>
      <c r="V70" s="82" t="e">
        <f>IF(V$39,73.86,NA())</f>
        <v>#N/A</v>
      </c>
      <c r="W70" s="82" t="e">
        <f>IF(W$39,63.51,NA())</f>
        <v>#N/A</v>
      </c>
      <c r="X70" s="82" t="e">
        <f>IF(X$39,98.01,NA())</f>
        <v>#N/A</v>
      </c>
      <c r="Y70" s="82" t="e">
        <f>IF(Y$39,69.64,NA())</f>
        <v>#N/A</v>
      </c>
      <c r="Z70" s="82">
        <f>IF(Z$39,38.63,NA())</f>
        <v>38.630000000000003</v>
      </c>
    </row>
    <row r="71" spans="1:26" x14ac:dyDescent="0.3">
      <c r="A71" s="81" t="s">
        <v>110</v>
      </c>
      <c r="B71" s="82">
        <f>IF(B$39,138.84,NA())</f>
        <v>138.84</v>
      </c>
      <c r="C71" s="82">
        <f>IF(C$39,99.75,NA())</f>
        <v>99.75</v>
      </c>
      <c r="D71" s="82">
        <f>IF(D$39,41.44,NA())</f>
        <v>41.44</v>
      </c>
      <c r="E71" s="82">
        <f>IF(E$39,55.2,NA())</f>
        <v>55.2</v>
      </c>
      <c r="F71" s="82">
        <f>IF(F$39,41.37,NA())</f>
        <v>41.37</v>
      </c>
      <c r="G71" s="82" t="e">
        <f>IF(G$39,60.78,NA())</f>
        <v>#N/A</v>
      </c>
      <c r="H71" s="82" t="e">
        <f>IF(H$39,47.29,NA())</f>
        <v>#N/A</v>
      </c>
      <c r="I71" s="82" t="e">
        <f>NA()</f>
        <v>#N/A</v>
      </c>
      <c r="J71" s="82" t="e">
        <f>IF(J$39,47.49,NA())</f>
        <v>#N/A</v>
      </c>
      <c r="K71" s="82" t="e">
        <f>IF(K$39,44.72,NA())</f>
        <v>#N/A</v>
      </c>
      <c r="L71" s="82" t="e">
        <f>IF(L$39,105.6,NA())</f>
        <v>#N/A</v>
      </c>
      <c r="M71" s="82">
        <f>IF(M$39,32.49,NA())</f>
        <v>32.49</v>
      </c>
      <c r="N71" s="82" t="e">
        <f>IF(N$39,32.23,NA())</f>
        <v>#N/A</v>
      </c>
      <c r="O71" s="82">
        <f>IF(O$39,35.38,NA())</f>
        <v>35.380000000000003</v>
      </c>
      <c r="P71" s="82" t="e">
        <f>IF(P$39,89.39,NA())</f>
        <v>#N/A</v>
      </c>
      <c r="Q71" s="82" t="e">
        <f>IF(Q$39,67.73,NA())</f>
        <v>#N/A</v>
      </c>
      <c r="R71" s="82" t="e">
        <f>IF(R$39,70.73,NA())</f>
        <v>#N/A</v>
      </c>
      <c r="S71" s="82" t="e">
        <f>IF(S$39,60.3,NA())</f>
        <v>#N/A</v>
      </c>
      <c r="T71" s="82" t="e">
        <f>IF(T$39,59.47,NA())</f>
        <v>#N/A</v>
      </c>
      <c r="U71" s="82">
        <f>IF(U$39,29.01,NA())</f>
        <v>29.01</v>
      </c>
      <c r="V71" s="82" t="e">
        <f>IF(V$39,73.14,NA())</f>
        <v>#N/A</v>
      </c>
      <c r="W71" s="82" t="e">
        <f>IF(W$39,63.94,NA())</f>
        <v>#N/A</v>
      </c>
      <c r="X71" s="82" t="e">
        <f>IF(X$39,99.72,NA())</f>
        <v>#N/A</v>
      </c>
      <c r="Y71" s="82" t="e">
        <f>IF(Y$39,70.94,NA())</f>
        <v>#N/A</v>
      </c>
      <c r="Z71" s="82">
        <f>IF(Z$39,39.62,NA())</f>
        <v>39.619999999999997</v>
      </c>
    </row>
    <row r="72" spans="1:26" x14ac:dyDescent="0.3">
      <c r="A72" s="81" t="s">
        <v>111</v>
      </c>
      <c r="B72" s="82">
        <f>IF(B$39,134.97,NA())</f>
        <v>134.97</v>
      </c>
      <c r="C72" s="82">
        <f>IF(C$39,103.33,NA())</f>
        <v>103.33</v>
      </c>
      <c r="D72" s="82">
        <f>IF(D$39,42.13,NA())</f>
        <v>42.13</v>
      </c>
      <c r="E72" s="82">
        <f>IF(E$39,55.2,NA())</f>
        <v>55.2</v>
      </c>
      <c r="F72" s="82">
        <f>IF(F$39,40.11,NA())</f>
        <v>40.11</v>
      </c>
      <c r="G72" s="82" t="e">
        <f>IF(G$39,59.21,NA())</f>
        <v>#N/A</v>
      </c>
      <c r="H72" s="82" t="e">
        <f>IF(H$39,45.7,NA())</f>
        <v>#N/A</v>
      </c>
      <c r="I72" s="82" t="e">
        <f>NA()</f>
        <v>#N/A</v>
      </c>
      <c r="J72" s="82" t="e">
        <f>IF(J$39,47.62,NA())</f>
        <v>#N/A</v>
      </c>
      <c r="K72" s="82" t="e">
        <f>IF(K$39,43.35,NA())</f>
        <v>#N/A</v>
      </c>
      <c r="L72" s="82" t="e">
        <f>IF(L$39,103.12,NA())</f>
        <v>#N/A</v>
      </c>
      <c r="M72" s="82">
        <f>IF(M$39,31.72,NA())</f>
        <v>31.72</v>
      </c>
      <c r="N72" s="82" t="e">
        <f>IF(N$39,33.56,NA())</f>
        <v>#N/A</v>
      </c>
      <c r="O72" s="82">
        <f>IF(O$39,35.59,NA())</f>
        <v>35.590000000000003</v>
      </c>
      <c r="P72" s="82" t="e">
        <f>IF(P$39,91.56,NA())</f>
        <v>#N/A</v>
      </c>
      <c r="Q72" s="82" t="e">
        <f>IF(Q$39,63.86,NA())</f>
        <v>#N/A</v>
      </c>
      <c r="R72" s="82" t="e">
        <f>IF(R$39,71.69,NA())</f>
        <v>#N/A</v>
      </c>
      <c r="S72" s="82" t="e">
        <f>IF(S$39,61.89,NA())</f>
        <v>#N/A</v>
      </c>
      <c r="T72" s="82" t="e">
        <f>IF(T$39,61.27,NA())</f>
        <v>#N/A</v>
      </c>
      <c r="U72" s="82">
        <f>IF(U$39,29.66,NA())</f>
        <v>29.66</v>
      </c>
      <c r="V72" s="82" t="e">
        <f>IF(V$39,75.28,NA())</f>
        <v>#N/A</v>
      </c>
      <c r="W72" s="82" t="e">
        <f>IF(W$39,63.37,NA())</f>
        <v>#N/A</v>
      </c>
      <c r="X72" s="82" t="e">
        <f>IF(X$39,97.58,NA())</f>
        <v>#N/A</v>
      </c>
      <c r="Y72" s="82" t="e">
        <f>IF(Y$39,72.02,NA())</f>
        <v>#N/A</v>
      </c>
      <c r="Z72" s="82">
        <f>IF(Z$39,41.27,NA())</f>
        <v>41.27</v>
      </c>
    </row>
    <row r="73" spans="1:26" x14ac:dyDescent="0.3">
      <c r="A73" s="81" t="s">
        <v>112</v>
      </c>
      <c r="B73" s="82">
        <f>IF(B$39,135.67,NA())</f>
        <v>135.66999999999999</v>
      </c>
      <c r="C73" s="82">
        <f>IF(C$39,105.83,NA())</f>
        <v>105.83</v>
      </c>
      <c r="D73" s="82">
        <f>IF(D$39,40.4,NA())</f>
        <v>40.4</v>
      </c>
      <c r="E73" s="82">
        <f>IF(E$39,52.8,NA())</f>
        <v>52.8</v>
      </c>
      <c r="F73" s="82">
        <f>IF(F$39,39.39,NA())</f>
        <v>39.39</v>
      </c>
      <c r="G73" s="82" t="e">
        <f>IF(G$39,58.97,NA())</f>
        <v>#N/A</v>
      </c>
      <c r="H73" s="82" t="e">
        <f>IF(H$39,46.1,NA())</f>
        <v>#N/A</v>
      </c>
      <c r="I73" s="82" t="e">
        <f>NA()</f>
        <v>#N/A</v>
      </c>
      <c r="J73" s="82" t="e">
        <f>IF(J$39,49.25,NA())</f>
        <v>#N/A</v>
      </c>
      <c r="K73" s="82" t="e">
        <f>IF(K$39,39.92,NA())</f>
        <v>#N/A</v>
      </c>
      <c r="L73" s="82" t="e">
        <f>IF(L$39,100.91,NA())</f>
        <v>#N/A</v>
      </c>
      <c r="M73" s="82">
        <f>IF(M$39,29.01,NA())</f>
        <v>29.01</v>
      </c>
      <c r="N73" s="82" t="e">
        <f>IF(N$39,33.56,NA())</f>
        <v>#N/A</v>
      </c>
      <c r="O73" s="82">
        <f>IF(O$39,33.36,NA())</f>
        <v>33.36</v>
      </c>
      <c r="P73" s="82" t="e">
        <f>IF(P$39,90.77,NA())</f>
        <v>#N/A</v>
      </c>
      <c r="Q73" s="82" t="e">
        <f>IF(Q$39,61.18,NA())</f>
        <v>#N/A</v>
      </c>
      <c r="R73" s="82" t="e">
        <f>IF(R$39,69.77,NA())</f>
        <v>#N/A</v>
      </c>
      <c r="S73" s="82" t="e">
        <f>IF(S$39,62.47,NA())</f>
        <v>#N/A</v>
      </c>
      <c r="T73" s="82" t="e">
        <f>IF(T$39,62.7,NA())</f>
        <v>#N/A</v>
      </c>
      <c r="U73" s="82">
        <f>IF(U$39,32.13,NA())</f>
        <v>32.130000000000003</v>
      </c>
      <c r="V73" s="82" t="e">
        <f>IF(V$39,74.26,NA())</f>
        <v>#N/A</v>
      </c>
      <c r="W73" s="82" t="e">
        <f>IF(W$39,64.36,NA())</f>
        <v>#N/A</v>
      </c>
      <c r="X73" s="82" t="e">
        <f>IF(X$39,99.29,NA())</f>
        <v>#N/A</v>
      </c>
      <c r="Y73" s="82" t="e">
        <f>IF(Y$39,72.45,NA())</f>
        <v>#N/A</v>
      </c>
      <c r="Z73" s="82">
        <f>IF(Z$39,44.9,NA())</f>
        <v>44.9</v>
      </c>
    </row>
    <row r="74" spans="1:26" x14ac:dyDescent="0.3">
      <c r="A74" s="81" t="s">
        <v>113</v>
      </c>
      <c r="B74" s="82">
        <f>IF(B$39,132.86,NA())</f>
        <v>132.86000000000001</v>
      </c>
      <c r="C74" s="82">
        <f>IF(C$39,110.12,NA())</f>
        <v>110.12</v>
      </c>
      <c r="D74" s="82">
        <f>IF(D$39,40.4,NA())</f>
        <v>40.4</v>
      </c>
      <c r="E74" s="82">
        <f>IF(E$39,54.72,NA())</f>
        <v>54.72</v>
      </c>
      <c r="F74" s="82">
        <f>IF(F$39,38.31,NA())</f>
        <v>38.31</v>
      </c>
      <c r="G74" s="82" t="e">
        <f>IF(G$39,58.13,NA())</f>
        <v>#N/A</v>
      </c>
      <c r="H74" s="82" t="e">
        <f>IF(H$39,45.17,NA())</f>
        <v>#N/A</v>
      </c>
      <c r="I74" s="82" t="e">
        <f>NA()</f>
        <v>#N/A</v>
      </c>
      <c r="J74" s="82" t="e">
        <f>IF(J$39,48.75,NA())</f>
        <v>#N/A</v>
      </c>
      <c r="K74" s="82" t="e">
        <f>IF(K$39,39.64,NA())</f>
        <v>#N/A</v>
      </c>
      <c r="L74" s="82" t="e">
        <f>IF(L$39,98.43,NA())</f>
        <v>#N/A</v>
      </c>
      <c r="M74" s="82">
        <f>IF(M$39,27.08,NA())</f>
        <v>27.08</v>
      </c>
      <c r="N74" s="82" t="e">
        <f>IF(N$39,34,NA())</f>
        <v>#N/A</v>
      </c>
      <c r="O74" s="82">
        <f>IF(O$39,32.41,NA())</f>
        <v>32.409999999999997</v>
      </c>
      <c r="P74" s="82" t="e">
        <f>IF(P$39,93.34,NA())</f>
        <v>#N/A</v>
      </c>
      <c r="Q74" s="82" t="e">
        <f>IF(Q$39,60.29,NA())</f>
        <v>#N/A</v>
      </c>
      <c r="R74" s="82" t="e">
        <f>IF(R$39,69.91,NA())</f>
        <v>#N/A</v>
      </c>
      <c r="S74" s="82" t="e">
        <f>IF(S$39,63.41,NA())</f>
        <v>#N/A</v>
      </c>
      <c r="T74" s="82" t="e">
        <f>IF(T$39,65.21,NA())</f>
        <v>#N/A</v>
      </c>
      <c r="U74" s="82">
        <f>IF(U$39,33.16,NA())</f>
        <v>33.159999999999997</v>
      </c>
      <c r="V74" s="82" t="e">
        <f>IF(V$39,72.53,NA())</f>
        <v>#N/A</v>
      </c>
      <c r="W74" s="82" t="e">
        <f>IF(W$39,62.66,NA())</f>
        <v>#N/A</v>
      </c>
      <c r="X74" s="82" t="e">
        <f>IF(X$39,101.43,NA())</f>
        <v>#N/A</v>
      </c>
      <c r="Y74" s="82" t="e">
        <f>IF(Y$39,71.16,NA())</f>
        <v>#N/A</v>
      </c>
      <c r="Z74" s="82">
        <f>IF(Z$39,42.92,NA())</f>
        <v>42.92</v>
      </c>
    </row>
    <row r="75" spans="1:26" x14ac:dyDescent="0.3">
      <c r="A75" s="81" t="s">
        <v>114</v>
      </c>
      <c r="B75" s="82">
        <f>IF(B$39,133.21,NA())</f>
        <v>133.21</v>
      </c>
      <c r="C75" s="82">
        <f>IF(C$39,111.19,NA())</f>
        <v>111.19</v>
      </c>
      <c r="D75" s="82">
        <f>IF(D$39,39.71,NA())</f>
        <v>39.71</v>
      </c>
      <c r="E75" s="82">
        <f>IF(E$39,56.64,NA())</f>
        <v>56.64</v>
      </c>
      <c r="F75" s="82">
        <f>IF(F$39,38.49,NA())</f>
        <v>38.49</v>
      </c>
      <c r="G75" s="82" t="e">
        <f>IF(G$39,56.55,NA())</f>
        <v>#N/A</v>
      </c>
      <c r="H75" s="82" t="e">
        <f>IF(H$39,44.9,NA())</f>
        <v>#N/A</v>
      </c>
      <c r="I75" s="82" t="e">
        <f>NA()</f>
        <v>#N/A</v>
      </c>
      <c r="J75" s="82" t="e">
        <f>IF(J$39,48.88,NA())</f>
        <v>#N/A</v>
      </c>
      <c r="K75" s="82" t="e">
        <f>IF(K$39,40.19,NA())</f>
        <v>#N/A</v>
      </c>
      <c r="L75" s="82" t="e">
        <f>IF(L$39,98.43,NA())</f>
        <v>#N/A</v>
      </c>
      <c r="M75" s="82">
        <f>IF(M$39,28.62,NA())</f>
        <v>28.62</v>
      </c>
      <c r="N75" s="82" t="e">
        <f>IF(N$39,35.32,NA())</f>
        <v>#N/A</v>
      </c>
      <c r="O75" s="82">
        <f>IF(O$39,33.89,NA())</f>
        <v>33.89</v>
      </c>
      <c r="P75" s="82" t="e">
        <f>IF(P$39,91.37,NA())</f>
        <v>#N/A</v>
      </c>
      <c r="Q75" s="82" t="e">
        <f>IF(Q$39,62.08,NA())</f>
        <v>#N/A</v>
      </c>
      <c r="R75" s="82" t="e">
        <f>IF(R$39,69.36,NA())</f>
        <v>#N/A</v>
      </c>
      <c r="S75" s="82" t="e">
        <f>IF(S$39,62.54,NA())</f>
        <v>#N/A</v>
      </c>
      <c r="T75" s="82" t="e">
        <f>IF(T$39,64.13,NA())</f>
        <v>#N/A</v>
      </c>
      <c r="U75" s="82">
        <f>IF(U$39,34.4,NA())</f>
        <v>34.4</v>
      </c>
      <c r="V75" s="82" t="e">
        <f>IF(V$39,73.25,NA())</f>
        <v>#N/A</v>
      </c>
      <c r="W75" s="82" t="e">
        <f>IF(W$39,65.22,NA())</f>
        <v>#N/A</v>
      </c>
      <c r="X75" s="82" t="e">
        <f>IF(X$39,99.29,NA())</f>
        <v>#N/A</v>
      </c>
      <c r="Y75" s="82" t="e">
        <f>IF(Y$39,71.26,NA())</f>
        <v>#N/A</v>
      </c>
      <c r="Z75" s="82">
        <f>IF(Z$39,41.93,NA())</f>
        <v>41.93</v>
      </c>
    </row>
    <row r="76" spans="1:26" x14ac:dyDescent="0.3">
      <c r="A76" s="81" t="s">
        <v>115</v>
      </c>
      <c r="B76" s="82">
        <f>IF(B$39,138.14,NA())</f>
        <v>138.13999999999999</v>
      </c>
      <c r="C76" s="82">
        <f>IF(C$39,110.84,NA())</f>
        <v>110.84</v>
      </c>
      <c r="D76" s="82">
        <f>IF(D$39,40.06,NA())</f>
        <v>40.06</v>
      </c>
      <c r="E76" s="82">
        <f>IF(E$39,55.2,NA())</f>
        <v>55.2</v>
      </c>
      <c r="F76" s="82">
        <f>IF(F$39,38.49,NA())</f>
        <v>38.49</v>
      </c>
      <c r="G76" s="82" t="e">
        <f>IF(G$39,55.71,NA())</f>
        <v>#N/A</v>
      </c>
      <c r="H76" s="82" t="e">
        <f>IF(H$39,47.42,NA())</f>
        <v>#N/A</v>
      </c>
      <c r="I76" s="82" t="e">
        <f>NA()</f>
        <v>#N/A</v>
      </c>
      <c r="J76" s="82" t="e">
        <f>IF(J$39,50.89,NA())</f>
        <v>#N/A</v>
      </c>
      <c r="K76" s="82" t="e">
        <f>IF(K$39,40.74,NA())</f>
        <v>#N/A</v>
      </c>
      <c r="L76" s="82" t="e">
        <f>IF(L$39,97.05,NA())</f>
        <v>#N/A</v>
      </c>
      <c r="M76" s="82">
        <f>IF(M$39,28.62,NA())</f>
        <v>28.62</v>
      </c>
      <c r="N76" s="82" t="e">
        <f>IF(N$39,35.76,NA())</f>
        <v>#N/A</v>
      </c>
      <c r="O76" s="82">
        <f>IF(O$39,34.74,NA())</f>
        <v>34.74</v>
      </c>
      <c r="P76" s="82" t="e">
        <f>IF(P$39,90.77,NA())</f>
        <v>#N/A</v>
      </c>
      <c r="Q76" s="82" t="e">
        <f>IF(Q$39,64.16,NA())</f>
        <v>#N/A</v>
      </c>
      <c r="R76" s="82" t="e">
        <f>IF(R$39,70.87,NA())</f>
        <v>#N/A</v>
      </c>
      <c r="S76" s="82" t="e">
        <f>IF(S$39,62.18,NA())</f>
        <v>#N/A</v>
      </c>
      <c r="T76" s="82" t="e">
        <f>IF(T$39,67.36,NA())</f>
        <v>#N/A</v>
      </c>
      <c r="U76" s="82">
        <f>IF(U$39,36.49,NA())</f>
        <v>36.49</v>
      </c>
      <c r="V76" s="82" t="e">
        <f>IF(V$39,71.21,NA())</f>
        <v>#N/A</v>
      </c>
      <c r="W76" s="82" t="e">
        <f>IF(W$39,65.08,NA())</f>
        <v>#N/A</v>
      </c>
      <c r="X76" s="82" t="e">
        <f>IF(X$39,94.58,NA())</f>
        <v>#N/A</v>
      </c>
      <c r="Y76" s="82" t="e">
        <f>IF(Y$39,70.07,NA())</f>
        <v>#N/A</v>
      </c>
      <c r="Z76" s="82">
        <f>IF(Z$39,41.27,NA())</f>
        <v>41.27</v>
      </c>
    </row>
    <row r="77" spans="1:26" x14ac:dyDescent="0.3">
      <c r="A77" s="81" t="s">
        <v>116</v>
      </c>
      <c r="B77" s="82">
        <f>IF(B$39,138.49,NA())</f>
        <v>138.49</v>
      </c>
      <c r="C77" s="82">
        <f>IF(C$39,111.19,NA())</f>
        <v>111.19</v>
      </c>
      <c r="D77" s="82">
        <f>IF(D$39,44.2,NA())</f>
        <v>44.2</v>
      </c>
      <c r="E77" s="82">
        <f>IF(E$39,53.28,NA())</f>
        <v>53.28</v>
      </c>
      <c r="F77" s="82">
        <f>IF(F$39,38.85,NA())</f>
        <v>38.85</v>
      </c>
      <c r="G77" s="82" t="e">
        <f>IF(G$39,57.4,NA())</f>
        <v>#N/A</v>
      </c>
      <c r="H77" s="82" t="e">
        <f>IF(H$39,49.55,NA())</f>
        <v>#N/A</v>
      </c>
      <c r="I77" s="82" t="e">
        <f>NA()</f>
        <v>#N/A</v>
      </c>
      <c r="J77" s="82" t="e">
        <f>IF(J$39,53.78,NA())</f>
        <v>#N/A</v>
      </c>
      <c r="K77" s="82" t="e">
        <f>IF(K$39,41.01,NA())</f>
        <v>#N/A</v>
      </c>
      <c r="L77" s="82" t="e">
        <f>IF(L$39,98.98,NA())</f>
        <v>#N/A</v>
      </c>
      <c r="M77" s="82">
        <f>IF(M$39,31.33,NA())</f>
        <v>31.33</v>
      </c>
      <c r="N77" s="82" t="e">
        <f>IF(N$39,32.67,NA())</f>
        <v>#N/A</v>
      </c>
      <c r="O77" s="82">
        <f>IF(O$39,37.19,NA())</f>
        <v>37.19</v>
      </c>
      <c r="P77" s="82" t="e">
        <f>IF(P$39,90.77,NA())</f>
        <v>#N/A</v>
      </c>
      <c r="Q77" s="82" t="e">
        <f>IF(Q$39,63.57,NA())</f>
        <v>#N/A</v>
      </c>
      <c r="R77" s="82" t="e">
        <f>IF(R$39,73.89,NA())</f>
        <v>#N/A</v>
      </c>
      <c r="S77" s="82" t="e">
        <f>IF(S$39,63.05,NA())</f>
        <v>#N/A</v>
      </c>
      <c r="T77" s="82" t="e">
        <f>IF(T$39,70.22,NA())</f>
        <v>#N/A</v>
      </c>
      <c r="U77" s="82">
        <f>IF(U$39,39.1,NA())</f>
        <v>39.1</v>
      </c>
      <c r="V77" s="82" t="e">
        <f>IF(V$39,71.21,NA())</f>
        <v>#N/A</v>
      </c>
      <c r="W77" s="82" t="e">
        <f>IF(W$39,64.22,NA())</f>
        <v>#N/A</v>
      </c>
      <c r="X77" s="82" t="e">
        <f>IF(X$39,93.73,NA())</f>
        <v>#N/A</v>
      </c>
      <c r="Y77" s="82" t="e">
        <f>IF(Y$39,69.86,NA())</f>
        <v>#N/A</v>
      </c>
      <c r="Z77" s="82">
        <f>IF(Z$39,42.26,NA())</f>
        <v>42.26</v>
      </c>
    </row>
    <row r="78" spans="1:26" x14ac:dyDescent="0.3">
      <c r="A78" s="81" t="s">
        <v>117</v>
      </c>
      <c r="B78" s="82">
        <f>IF(B$39,136.38,NA())</f>
        <v>136.38</v>
      </c>
      <c r="C78" s="82">
        <f>IF(C$39,113.34,NA())</f>
        <v>113.34</v>
      </c>
      <c r="D78" s="82">
        <f>IF(D$39,47.65,NA())</f>
        <v>47.65</v>
      </c>
      <c r="E78" s="82">
        <f>IF(E$39,56.64,NA())</f>
        <v>56.64</v>
      </c>
      <c r="F78" s="82">
        <f>IF(F$39,39.57,NA())</f>
        <v>39.57</v>
      </c>
      <c r="G78" s="82" t="e">
        <f>IF(G$39,60.54,NA())</f>
        <v>#N/A</v>
      </c>
      <c r="H78" s="82" t="e">
        <f>IF(H$39,49.55,NA())</f>
        <v>#N/A</v>
      </c>
      <c r="I78" s="82" t="e">
        <f>NA()</f>
        <v>#N/A</v>
      </c>
      <c r="J78" s="82" t="e">
        <f>IF(J$39,55.03,NA())</f>
        <v>#N/A</v>
      </c>
      <c r="K78" s="82" t="e">
        <f>IF(K$39,40.47,NA())</f>
        <v>#N/A</v>
      </c>
      <c r="L78" s="82" t="e">
        <f>IF(L$39,100.91,NA())</f>
        <v>#N/A</v>
      </c>
      <c r="M78" s="82">
        <f>IF(M$39,32.49,NA())</f>
        <v>32.49</v>
      </c>
      <c r="N78" s="82" t="e">
        <f>IF(N$39,32.23,NA())</f>
        <v>#N/A</v>
      </c>
      <c r="O78" s="82">
        <f>IF(O$39,37.83,NA())</f>
        <v>37.83</v>
      </c>
      <c r="P78" s="82" t="e">
        <f>IF(P$39,93.73,NA())</f>
        <v>#N/A</v>
      </c>
      <c r="Q78" s="82" t="e">
        <f>IF(Q$39,62.52,NA())</f>
        <v>#N/A</v>
      </c>
      <c r="R78" s="82" t="e">
        <f>IF(R$39,73.61,NA())</f>
        <v>#N/A</v>
      </c>
      <c r="S78" s="82" t="e">
        <f>IF(S$39,63.7,NA())</f>
        <v>#N/A</v>
      </c>
      <c r="T78" s="82" t="e">
        <f>IF(T$39,70.94,NA())</f>
        <v>#N/A</v>
      </c>
      <c r="U78" s="82">
        <f>IF(U$39,41.53,NA())</f>
        <v>41.53</v>
      </c>
      <c r="V78" s="82" t="e">
        <f>IF(V$39,71.11,NA())</f>
        <v>#N/A</v>
      </c>
      <c r="W78" s="82" t="e">
        <f>IF(W$39,64.08,NA())</f>
        <v>#N/A</v>
      </c>
      <c r="X78" s="82" t="e">
        <f>IF(X$39,92.87,NA())</f>
        <v>#N/A</v>
      </c>
      <c r="Y78" s="82" t="e">
        <f>IF(Y$39,68.99,NA())</f>
        <v>#N/A</v>
      </c>
      <c r="Z78" s="82">
        <f>IF(Z$39,42.26,NA())</f>
        <v>42.26</v>
      </c>
    </row>
    <row r="79" spans="1:26" x14ac:dyDescent="0.3">
      <c r="A79" s="81" t="s">
        <v>118</v>
      </c>
      <c r="B79" s="82">
        <f>IF(B$39,136.73,NA())</f>
        <v>136.72999999999999</v>
      </c>
      <c r="C79" s="82">
        <f>IF(C$39,116.56,NA())</f>
        <v>116.56</v>
      </c>
      <c r="D79" s="82">
        <f>IF(D$39,50.07,NA())</f>
        <v>50.07</v>
      </c>
      <c r="E79" s="82">
        <f>IF(E$39,54.72,NA())</f>
        <v>54.72</v>
      </c>
      <c r="F79" s="82">
        <f>IF(F$39,40.11,NA())</f>
        <v>40.11</v>
      </c>
      <c r="G79" s="82" t="e">
        <f>IF(G$39,59.33,NA())</f>
        <v>#N/A</v>
      </c>
      <c r="H79" s="82" t="e">
        <f>IF(H$39,49.42,NA())</f>
        <v>#N/A</v>
      </c>
      <c r="I79" s="82" t="e">
        <f>NA()</f>
        <v>#N/A</v>
      </c>
      <c r="J79" s="82" t="e">
        <f>IF(J$39,55.79,NA())</f>
        <v>#N/A</v>
      </c>
      <c r="K79" s="82" t="e">
        <f>IF(K$39,41.01,NA())</f>
        <v>#N/A</v>
      </c>
      <c r="L79" s="82" t="e">
        <f>IF(L$39,99.81,NA())</f>
        <v>#N/A</v>
      </c>
      <c r="M79" s="82">
        <f>IF(M$39,31.72,NA())</f>
        <v>31.72</v>
      </c>
      <c r="N79" s="82" t="e">
        <f>IF(N$39,34,NA())</f>
        <v>#N/A</v>
      </c>
      <c r="O79" s="82">
        <f>IF(O$39,38.14,NA())</f>
        <v>38.14</v>
      </c>
      <c r="P79" s="82" t="e">
        <f>IF(P$39,93.14,NA())</f>
        <v>#N/A</v>
      </c>
      <c r="Q79" s="82" t="e">
        <f>IF(Q$39,60.59,NA())</f>
        <v>#N/A</v>
      </c>
      <c r="R79" s="82" t="e">
        <f>IF(R$39,72.1,NA())</f>
        <v>#N/A</v>
      </c>
      <c r="S79" s="82" t="e">
        <f>IF(S$39,63.84,NA())</f>
        <v>#N/A</v>
      </c>
      <c r="T79" s="82" t="e">
        <f>IF(T$39,71.66,NA())</f>
        <v>#N/A</v>
      </c>
      <c r="U79" s="82">
        <f>IF(U$39,42.65,NA())</f>
        <v>42.65</v>
      </c>
      <c r="V79" s="82" t="e">
        <f>IF(V$39,69.68,NA())</f>
        <v>#N/A</v>
      </c>
      <c r="W79" s="82" t="e">
        <f>IF(W$39,63.79,NA())</f>
        <v>#N/A</v>
      </c>
      <c r="X79" s="82" t="e">
        <f>IF(X$39,93.3,NA())</f>
        <v>#N/A</v>
      </c>
      <c r="Y79" s="82" t="e">
        <f>IF(Y$39,67.05,NA())</f>
        <v>#N/A</v>
      </c>
      <c r="Z79" s="82">
        <f>IF(Z$39,41.93,NA())</f>
        <v>41.93</v>
      </c>
    </row>
    <row r="80" spans="1:26" x14ac:dyDescent="0.3">
      <c r="A80" s="81" t="s">
        <v>119</v>
      </c>
      <c r="B80" s="82">
        <f>IF(B$39,136.38,NA())</f>
        <v>136.38</v>
      </c>
      <c r="C80" s="82">
        <f>IF(C$39,118.34,NA())</f>
        <v>118.34</v>
      </c>
      <c r="D80" s="82">
        <f>IF(D$39,48,NA())</f>
        <v>48</v>
      </c>
      <c r="E80" s="82">
        <f>IF(E$39,54.72,NA())</f>
        <v>54.72</v>
      </c>
      <c r="F80" s="82">
        <f>IF(F$39,39.39,NA())</f>
        <v>39.39</v>
      </c>
      <c r="G80" s="82" t="e">
        <f>IF(G$39,61.27,NA())</f>
        <v>#N/A</v>
      </c>
      <c r="H80" s="82" t="e">
        <f>IF(H$39,50.08,NA())</f>
        <v>#N/A</v>
      </c>
      <c r="I80" s="82" t="e">
        <f>NA()</f>
        <v>#N/A</v>
      </c>
      <c r="J80" s="82" t="e">
        <f>IF(J$39,59.43,NA())</f>
        <v>#N/A</v>
      </c>
      <c r="K80" s="82" t="e">
        <f>IF(K$39,40.47,NA())</f>
        <v>#N/A</v>
      </c>
      <c r="L80" s="82" t="e">
        <f>IF(L$39,100.36,NA())</f>
        <v>#N/A</v>
      </c>
      <c r="M80" s="82">
        <f>IF(M$39,32.88,NA())</f>
        <v>32.880000000000003</v>
      </c>
      <c r="N80" s="82" t="e">
        <f>IF(N$39,34,NA())</f>
        <v>#N/A</v>
      </c>
      <c r="O80" s="82">
        <f>IF(O$39,39.21,NA())</f>
        <v>39.21</v>
      </c>
      <c r="P80" s="82" t="e">
        <f>IF(P$39,93.54,NA())</f>
        <v>#N/A</v>
      </c>
      <c r="Q80" s="82" t="e">
        <f>IF(Q$39,59.7,NA())</f>
        <v>#N/A</v>
      </c>
      <c r="R80" s="82" t="e">
        <f>IF(R$39,70.18,NA())</f>
        <v>#N/A</v>
      </c>
      <c r="S80" s="82" t="e">
        <f>IF(S$39,63.41,NA())</f>
        <v>#N/A</v>
      </c>
      <c r="T80" s="82" t="e">
        <f>IF(T$39,74.16,NA())</f>
        <v>#N/A</v>
      </c>
      <c r="U80" s="82" t="e">
        <f>NA()</f>
        <v>#N/A</v>
      </c>
      <c r="V80" s="82" t="e">
        <f>IF(V$39,67.44,NA())</f>
        <v>#N/A</v>
      </c>
      <c r="W80" s="82" t="e">
        <f>IF(W$39,65.36,NA())</f>
        <v>#N/A</v>
      </c>
      <c r="X80" s="82" t="e">
        <f>IF(X$39,96.3,NA())</f>
        <v>#N/A</v>
      </c>
      <c r="Y80" s="82" t="e">
        <f>IF(Y$39,67.48,NA())</f>
        <v>#N/A</v>
      </c>
      <c r="Z80" s="82">
        <f>IF(Z$39,41.27,NA())</f>
        <v>41.27</v>
      </c>
    </row>
    <row r="81" spans="1:26" x14ac:dyDescent="0.3">
      <c r="A81" s="81" t="s">
        <v>120</v>
      </c>
      <c r="B81" s="82">
        <f>IF(B$39,140.43,NA())</f>
        <v>140.43</v>
      </c>
      <c r="C81" s="82">
        <f>IF(C$39,120.13,NA())</f>
        <v>120.13</v>
      </c>
      <c r="D81" s="82">
        <f>IF(D$39,49.72,NA())</f>
        <v>49.72</v>
      </c>
      <c r="E81" s="82">
        <f>IF(E$39,57.12,NA())</f>
        <v>57.12</v>
      </c>
      <c r="F81" s="82">
        <f>IF(F$39,39.93,NA())</f>
        <v>39.93</v>
      </c>
      <c r="G81" s="82" t="e">
        <f>IF(G$39,63.44,NA())</f>
        <v>#N/A</v>
      </c>
      <c r="H81" s="82" t="e">
        <f>IF(H$39,51.68,NA())</f>
        <v>#N/A</v>
      </c>
      <c r="I81" s="82" t="e">
        <f>NA()</f>
        <v>#N/A</v>
      </c>
      <c r="J81" s="82" t="e">
        <f>IF(J$39,60.31,NA())</f>
        <v>#N/A</v>
      </c>
      <c r="K81" s="82" t="e">
        <f>IF(K$39,40.88,NA())</f>
        <v>#N/A</v>
      </c>
      <c r="L81" s="82" t="e">
        <f>IF(L$39,100.36,NA())</f>
        <v>#N/A</v>
      </c>
      <c r="M81" s="82">
        <f>IF(M$39,34.43,NA())</f>
        <v>34.43</v>
      </c>
      <c r="N81" s="82" t="e">
        <f>IF(N$39,37.97,NA())</f>
        <v>#N/A</v>
      </c>
      <c r="O81" s="82">
        <f>IF(O$39,40.48,NA())</f>
        <v>40.479999999999997</v>
      </c>
      <c r="P81" s="82" t="e">
        <f>IF(P$39,92.75,NA())</f>
        <v>#N/A</v>
      </c>
      <c r="Q81" s="82" t="e">
        <f>IF(Q$39,59.1,NA())</f>
        <v>#N/A</v>
      </c>
      <c r="R81" s="82" t="e">
        <f>IF(R$39,72.65,NA())</f>
        <v>#N/A</v>
      </c>
      <c r="S81" s="82" t="e">
        <f>IF(S$39,64.13,NA())</f>
        <v>#N/A</v>
      </c>
      <c r="T81" s="82" t="e">
        <f>IF(T$39,74.16,NA())</f>
        <v>#N/A</v>
      </c>
      <c r="U81" s="82" t="e">
        <f>NA()</f>
        <v>#N/A</v>
      </c>
      <c r="V81" s="82" t="e">
        <f>IF(V$39,66.42,NA())</f>
        <v>#N/A</v>
      </c>
      <c r="W81" s="82" t="e">
        <f>IF(W$39,64.93,NA())</f>
        <v>#N/A</v>
      </c>
      <c r="X81" s="82" t="e">
        <f>IF(X$39,96.72,NA())</f>
        <v>#N/A</v>
      </c>
      <c r="Y81" s="82" t="e">
        <f>IF(Y$39,67.15,NA())</f>
        <v>#N/A</v>
      </c>
      <c r="Z81" s="82">
        <f>IF(Z$39,40.94,NA())</f>
        <v>40.94</v>
      </c>
    </row>
    <row r="82" spans="1:26" x14ac:dyDescent="0.3">
      <c r="A82" s="81" t="s">
        <v>121</v>
      </c>
      <c r="B82" s="82">
        <f>IF(B$39,142.36,NA())</f>
        <v>142.36000000000001</v>
      </c>
      <c r="C82" s="82">
        <f>IF(C$39,121.56,NA())</f>
        <v>121.56</v>
      </c>
      <c r="D82" s="82">
        <f>IF(D$39,54.21,NA())</f>
        <v>54.21</v>
      </c>
      <c r="E82" s="82">
        <f>IF(E$39,62.88,NA())</f>
        <v>62.88</v>
      </c>
      <c r="F82" s="82">
        <f>IF(F$39,40.11,NA())</f>
        <v>40.11</v>
      </c>
      <c r="G82" s="82" t="e">
        <f>IF(G$39,67.19,NA())</f>
        <v>#N/A</v>
      </c>
      <c r="H82" s="82" t="e">
        <f>IF(H$39,51.81,NA())</f>
        <v>#N/A</v>
      </c>
      <c r="I82" s="82" t="e">
        <f>NA()</f>
        <v>#N/A</v>
      </c>
      <c r="J82" s="82" t="e">
        <f>IF(J$39,63.07,NA())</f>
        <v>#N/A</v>
      </c>
      <c r="K82" s="82" t="e">
        <f>IF(K$39,41.7,NA())</f>
        <v>#N/A</v>
      </c>
      <c r="L82" s="82" t="e">
        <f>IF(L$39,100.36,NA())</f>
        <v>#N/A</v>
      </c>
      <c r="M82" s="82">
        <f>IF(M$39,34.81,NA())</f>
        <v>34.81</v>
      </c>
      <c r="N82" s="82" t="e">
        <f>IF(N$39,38.41,NA())</f>
        <v>#N/A</v>
      </c>
      <c r="O82" s="82">
        <f>IF(O$39,43.03,NA())</f>
        <v>43.03</v>
      </c>
      <c r="P82" s="82" t="e">
        <f>IF(P$39,94.13,NA())</f>
        <v>#N/A</v>
      </c>
      <c r="Q82" s="82" t="e">
        <f>IF(Q$39,57.91,NA())</f>
        <v>#N/A</v>
      </c>
      <c r="R82" s="82" t="e">
        <f>IF(R$39,71.69,NA())</f>
        <v>#N/A</v>
      </c>
      <c r="S82" s="82" t="e">
        <f>IF(S$39,63.41,NA())</f>
        <v>#N/A</v>
      </c>
      <c r="T82" s="82" t="e">
        <f>IF(T$39,73.09,NA())</f>
        <v>#N/A</v>
      </c>
      <c r="U82" s="82" t="e">
        <f>NA()</f>
        <v>#N/A</v>
      </c>
      <c r="V82" s="82" t="e">
        <f>IF(V$39,66.32,NA())</f>
        <v>#N/A</v>
      </c>
      <c r="W82" s="82" t="e">
        <f>IF(W$39,64.79,NA())</f>
        <v>#N/A</v>
      </c>
      <c r="X82" s="82" t="e">
        <f>IF(X$39,96.72,NA())</f>
        <v>#N/A</v>
      </c>
      <c r="Y82" s="82" t="e">
        <f>IF(Y$39,68.34,NA())</f>
        <v>#N/A</v>
      </c>
      <c r="Z82" s="82">
        <f>IF(Z$39,39.29,NA())</f>
        <v>39.29</v>
      </c>
    </row>
    <row r="83" spans="1:26" x14ac:dyDescent="0.3">
      <c r="A83" s="81" t="s">
        <v>122</v>
      </c>
      <c r="B83" s="82">
        <f>IF(B$39,144.47,NA())</f>
        <v>144.47</v>
      </c>
      <c r="C83" s="82">
        <f>IF(C$39,122.28,NA())</f>
        <v>122.28</v>
      </c>
      <c r="D83" s="82">
        <f>IF(D$39,55.59,NA())</f>
        <v>55.59</v>
      </c>
      <c r="E83" s="82">
        <f>IF(E$39,62.4,NA())</f>
        <v>62.4</v>
      </c>
      <c r="F83" s="82">
        <f>IF(F$39,40.29,NA())</f>
        <v>40.29</v>
      </c>
      <c r="G83" s="82" t="e">
        <f>IF(G$39,67.67,NA())</f>
        <v>#N/A</v>
      </c>
      <c r="H83" s="82" t="e">
        <f>IF(H$39,53.67,NA())</f>
        <v>#N/A</v>
      </c>
      <c r="I83" s="82" t="e">
        <f>NA()</f>
        <v>#N/A</v>
      </c>
      <c r="J83" s="82" t="e">
        <f>IF(J$39,67.85,NA())</f>
        <v>#N/A</v>
      </c>
      <c r="K83" s="82" t="e">
        <f>IF(K$39,42.52,NA())</f>
        <v>#N/A</v>
      </c>
      <c r="L83" s="82" t="e">
        <f>IF(L$39,103.12,NA())</f>
        <v>#N/A</v>
      </c>
      <c r="M83" s="82">
        <f>IF(M$39,35.97,NA())</f>
        <v>35.97</v>
      </c>
      <c r="N83" s="82" t="e">
        <f>IF(N$39,36.21,NA())</f>
        <v>#N/A</v>
      </c>
      <c r="O83" s="82">
        <f>IF(O$39,45.26,NA())</f>
        <v>45.26</v>
      </c>
      <c r="P83" s="82" t="e">
        <f>IF(P$39,93.14,NA())</f>
        <v>#N/A</v>
      </c>
      <c r="Q83" s="82" t="e">
        <f>IF(Q$39,58.8,NA())</f>
        <v>#N/A</v>
      </c>
      <c r="R83" s="82" t="e">
        <f>IF(R$39,74.43,NA())</f>
        <v>#N/A</v>
      </c>
      <c r="S83" s="82" t="e">
        <f>IF(S$39,64.71,NA())</f>
        <v>#N/A</v>
      </c>
      <c r="T83" s="82" t="e">
        <f>IF(T$39,71.66,NA())</f>
        <v>#N/A</v>
      </c>
      <c r="U83" s="82" t="e">
        <f>NA()</f>
        <v>#N/A</v>
      </c>
      <c r="V83" s="82" t="e">
        <f>IF(V$39,66.52,NA())</f>
        <v>#N/A</v>
      </c>
      <c r="W83" s="82" t="e">
        <f>IF(W$39,64.22,NA())</f>
        <v>#N/A</v>
      </c>
      <c r="X83" s="82" t="e">
        <f>IF(X$39,98.01,NA())</f>
        <v>#N/A</v>
      </c>
      <c r="Y83" s="82" t="e">
        <f>IF(Y$39,68.02,NA())</f>
        <v>#N/A</v>
      </c>
      <c r="Z83" s="82">
        <f>IF(Z$39,40.28,NA())</f>
        <v>40.28</v>
      </c>
    </row>
    <row r="84" spans="1:26" x14ac:dyDescent="0.3">
      <c r="A84" s="81" t="s">
        <v>123</v>
      </c>
      <c r="B84" s="82">
        <f>IF(B$39,147.99,NA())</f>
        <v>147.99</v>
      </c>
      <c r="C84" s="82">
        <f>IF(C$39,116.2,NA())</f>
        <v>116.2</v>
      </c>
      <c r="D84" s="82">
        <f>IF(D$39,54.56,NA())</f>
        <v>54.56</v>
      </c>
      <c r="E84" s="82">
        <f>IF(E$39,67.68,NA())</f>
        <v>67.680000000000007</v>
      </c>
      <c r="F84" s="82">
        <f>IF(F$39,41.73,NA())</f>
        <v>41.73</v>
      </c>
      <c r="G84" s="82" t="e">
        <f>IF(G$39,70.69,NA())</f>
        <v>#N/A</v>
      </c>
      <c r="H84" s="82" t="e">
        <f>IF(H$39,54.33,NA())</f>
        <v>#N/A</v>
      </c>
      <c r="I84" s="82" t="e">
        <f>NA()</f>
        <v>#N/A</v>
      </c>
      <c r="J84" s="82" t="e">
        <f>IF(J$39,71.37,NA())</f>
        <v>#N/A</v>
      </c>
      <c r="K84" s="82" t="e">
        <f>IF(K$39,43.07,NA())</f>
        <v>#N/A</v>
      </c>
      <c r="L84" s="82" t="e">
        <f>IF(L$39,104.22,NA())</f>
        <v>#N/A</v>
      </c>
      <c r="M84" s="82">
        <f>IF(M$39,35.97,NA())</f>
        <v>35.97</v>
      </c>
      <c r="N84" s="82" t="e">
        <f>IF(N$39,35.32,NA())</f>
        <v>#N/A</v>
      </c>
      <c r="O84" s="82">
        <f>IF(O$39,45.48,NA())</f>
        <v>45.48</v>
      </c>
      <c r="P84" s="82" t="e">
        <f>IF(P$39,90.18,NA())</f>
        <v>#N/A</v>
      </c>
      <c r="Q84" s="82" t="e">
        <f>IF(Q$39,61.18,NA())</f>
        <v>#N/A</v>
      </c>
      <c r="R84" s="82" t="e">
        <f>IF(R$39,73.2,NA())</f>
        <v>#N/A</v>
      </c>
      <c r="S84" s="82" t="e">
        <f>IF(S$39,64.56,NA())</f>
        <v>#N/A</v>
      </c>
      <c r="T84" s="82" t="e">
        <f>IF(T$39,69.51,NA())</f>
        <v>#N/A</v>
      </c>
      <c r="U84" s="82" t="e">
        <f>NA()</f>
        <v>#N/A</v>
      </c>
      <c r="V84" s="82" t="e">
        <f>IF(V$39,64.89,NA())</f>
        <v>#N/A</v>
      </c>
      <c r="W84" s="82" t="e">
        <f>IF(W$39,63.23,NA())</f>
        <v>#N/A</v>
      </c>
      <c r="X84" s="82" t="e">
        <f>IF(X$39,98.01,NA())</f>
        <v>#N/A</v>
      </c>
      <c r="Y84" s="82" t="e">
        <f>IF(Y$39,68.45,NA())</f>
        <v>#N/A</v>
      </c>
      <c r="Z84" s="82">
        <f>IF(Z$39,39.62,NA())</f>
        <v>39.619999999999997</v>
      </c>
    </row>
    <row r="85" spans="1:26" x14ac:dyDescent="0.3">
      <c r="A85" s="81" t="s">
        <v>124</v>
      </c>
      <c r="B85" s="82">
        <f>IF(B$39,145.71,NA())</f>
        <v>145.71</v>
      </c>
      <c r="C85" s="82">
        <f>IF(C$39,115.13,NA())</f>
        <v>115.13</v>
      </c>
      <c r="D85" s="82">
        <f>IF(D$39,57.32,NA())</f>
        <v>57.32</v>
      </c>
      <c r="E85" s="82">
        <f>IF(E$39,67.68,NA())</f>
        <v>67.680000000000007</v>
      </c>
      <c r="F85" s="82">
        <f>IF(F$39,42.45,NA())</f>
        <v>42.45</v>
      </c>
      <c r="G85" s="82" t="e">
        <f>IF(G$39,74.08,NA())</f>
        <v>#N/A</v>
      </c>
      <c r="H85" s="82" t="e">
        <f>IF(H$39,55.79,NA())</f>
        <v>#N/A</v>
      </c>
      <c r="I85" s="82" t="e">
        <f>NA()</f>
        <v>#N/A</v>
      </c>
      <c r="J85" s="82" t="e">
        <f>IF(J$39,74.26,NA())</f>
        <v>#N/A</v>
      </c>
      <c r="K85" s="82" t="e">
        <f>IF(K$39,45.27,NA())</f>
        <v>#N/A</v>
      </c>
      <c r="L85" s="82" t="e">
        <f>IF(L$39,107.25,NA())</f>
        <v>#N/A</v>
      </c>
      <c r="M85" s="82">
        <f>IF(M$39,37.91,NA())</f>
        <v>37.909999999999997</v>
      </c>
      <c r="N85" s="82" t="e">
        <f>IF(N$39,35.76,NA())</f>
        <v>#N/A</v>
      </c>
      <c r="O85" s="82">
        <f>IF(O$39,46.96,NA())</f>
        <v>46.96</v>
      </c>
      <c r="P85" s="82" t="e">
        <f>IF(P$39,89.99,NA())</f>
        <v>#N/A</v>
      </c>
      <c r="Q85" s="82" t="e">
        <f>IF(Q$39,62.82,NA())</f>
        <v>#N/A</v>
      </c>
      <c r="R85" s="82" t="e">
        <f>IF(R$39,76.76,NA())</f>
        <v>#N/A</v>
      </c>
      <c r="S85" s="82" t="e">
        <f>IF(S$39,64.99,NA())</f>
        <v>#N/A</v>
      </c>
      <c r="T85" s="82" t="e">
        <f>IF(T$39,67.36,NA())</f>
        <v>#N/A</v>
      </c>
      <c r="U85" s="82" t="e">
        <f>NA()</f>
        <v>#N/A</v>
      </c>
      <c r="V85" s="82" t="e">
        <f>IF(V$39,65.3,NA())</f>
        <v>#N/A</v>
      </c>
      <c r="W85" s="82" t="e">
        <f>IF(W$39,63.23,NA())</f>
        <v>#N/A</v>
      </c>
      <c r="X85" s="82" t="e">
        <f>IF(X$39,98.44,NA())</f>
        <v>#N/A</v>
      </c>
      <c r="Y85" s="82" t="e">
        <f>IF(Y$39,68.67,NA())</f>
        <v>#N/A</v>
      </c>
      <c r="Z85" s="82">
        <f>IF(Z$39,37.63,NA())</f>
        <v>37.630000000000003</v>
      </c>
    </row>
    <row r="86" spans="1:26" x14ac:dyDescent="0.3">
      <c r="A86" s="81" t="s">
        <v>125</v>
      </c>
      <c r="B86" s="82">
        <f>IF(B$39,147.99,NA())</f>
        <v>147.99</v>
      </c>
      <c r="C86" s="82">
        <f>IF(C$39,113.34,NA())</f>
        <v>113.34</v>
      </c>
      <c r="D86" s="82">
        <f>IF(D$39,62.85,NA())</f>
        <v>62.85</v>
      </c>
      <c r="E86" s="82">
        <f>IF(E$39,65.76,NA())</f>
        <v>65.760000000000005</v>
      </c>
      <c r="F86" s="82">
        <f>IF(F$39,42.99,NA())</f>
        <v>42.99</v>
      </c>
      <c r="G86" s="82" t="e">
        <f>IF(G$39,74.56,NA())</f>
        <v>#N/A</v>
      </c>
      <c r="H86" s="82" t="e">
        <f>IF(H$39,57.65,NA())</f>
        <v>#N/A</v>
      </c>
      <c r="I86" s="82" t="e">
        <f>NA()</f>
        <v>#N/A</v>
      </c>
      <c r="J86" s="82" t="e">
        <f>IF(J$39,77.52,NA())</f>
        <v>#N/A</v>
      </c>
      <c r="K86" s="82" t="e">
        <f>IF(K$39,45.27,NA())</f>
        <v>#N/A</v>
      </c>
      <c r="L86" s="82" t="e">
        <f>IF(L$39,108.35,NA())</f>
        <v>#N/A</v>
      </c>
      <c r="M86" s="82">
        <f>IF(M$39,42.94,NA())</f>
        <v>42.94</v>
      </c>
      <c r="N86" s="82" t="e">
        <f>IF(N$39,36.21,NA())</f>
        <v>#N/A</v>
      </c>
      <c r="O86" s="82">
        <f>IF(O$39,49.09,NA())</f>
        <v>49.09</v>
      </c>
      <c r="P86" s="82" t="e">
        <f>IF(P$39,86.43,NA())</f>
        <v>#N/A</v>
      </c>
      <c r="Q86" s="82" t="e">
        <f>IF(Q$39,62.23,NA())</f>
        <v>#N/A</v>
      </c>
      <c r="R86" s="82" t="e">
        <f>IF(R$39,77.18,NA())</f>
        <v>#N/A</v>
      </c>
      <c r="S86" s="82" t="e">
        <f>IF(S$39,63.7,NA())</f>
        <v>#N/A</v>
      </c>
      <c r="T86" s="82" t="e">
        <f>IF(T$39,65.21,NA())</f>
        <v>#N/A</v>
      </c>
      <c r="U86" s="82" t="e">
        <f>NA()</f>
        <v>#N/A</v>
      </c>
      <c r="V86" s="82" t="e">
        <f>IF(V$39,63.67,NA())</f>
        <v>#N/A</v>
      </c>
      <c r="W86" s="82" t="e">
        <f>IF(W$39,63.08,NA())</f>
        <v>#N/A</v>
      </c>
      <c r="X86" s="82" t="e">
        <f>IF(X$39,96.3,NA())</f>
        <v>#N/A</v>
      </c>
      <c r="Y86" s="82" t="e">
        <f>IF(Y$39,70.07,NA())</f>
        <v>#N/A</v>
      </c>
      <c r="Z86" s="82">
        <f>IF(Z$39,39.29,NA())</f>
        <v>39.29</v>
      </c>
    </row>
    <row r="87" spans="1:26" x14ac:dyDescent="0.3">
      <c r="A87" s="81" t="s">
        <v>126</v>
      </c>
      <c r="B87" s="82">
        <f>IF(B$39,151.86,NA())</f>
        <v>151.86000000000001</v>
      </c>
      <c r="C87" s="82">
        <f>IF(C$39,110.84,NA())</f>
        <v>110.84</v>
      </c>
      <c r="D87" s="82">
        <f>IF(D$39,64.23,NA())</f>
        <v>64.23</v>
      </c>
      <c r="E87" s="82">
        <f>IF(E$39,67.2,NA())</f>
        <v>67.2</v>
      </c>
      <c r="F87" s="82">
        <f>IF(F$39,41.01,NA())</f>
        <v>41.01</v>
      </c>
      <c r="G87" s="82" t="e">
        <f>IF(G$39,76.73,NA())</f>
        <v>#N/A</v>
      </c>
      <c r="H87" s="82" t="e">
        <f>IF(H$39,59.25,NA())</f>
        <v>#N/A</v>
      </c>
      <c r="I87" s="82" t="e">
        <f>NA()</f>
        <v>#N/A</v>
      </c>
      <c r="J87" s="82" t="e">
        <f>IF(J$39,81.67,NA())</f>
        <v>#N/A</v>
      </c>
      <c r="K87" s="82" t="e">
        <f>IF(K$39,45.81,NA())</f>
        <v>#N/A</v>
      </c>
      <c r="L87" s="82" t="e">
        <f>IF(L$39,106.7,NA())</f>
        <v>#N/A</v>
      </c>
      <c r="M87" s="82">
        <f>IF(M$39,42.55,NA())</f>
        <v>42.55</v>
      </c>
      <c r="N87" s="82" t="e">
        <f>IF(N$39,36.65,NA())</f>
        <v>#N/A</v>
      </c>
      <c r="O87" s="82">
        <f>IF(O$39,49.41,NA())</f>
        <v>49.41</v>
      </c>
      <c r="P87" s="82" t="e">
        <f>IF(P$39,85.64,NA())</f>
        <v>#N/A</v>
      </c>
      <c r="Q87" s="82" t="e">
        <f>IF(Q$39,60.89,NA())</f>
        <v>#N/A</v>
      </c>
      <c r="R87" s="82" t="e">
        <f>IF(R$39,76.63,NA())</f>
        <v>#N/A</v>
      </c>
      <c r="S87" s="82" t="e">
        <f>IF(S$39,65.07,NA())</f>
        <v>#N/A</v>
      </c>
      <c r="T87" s="82" t="e">
        <f>IF(T$39,63.77,NA())</f>
        <v>#N/A</v>
      </c>
      <c r="U87" s="82" t="e">
        <f>NA()</f>
        <v>#N/A</v>
      </c>
      <c r="V87" s="82" t="e">
        <f>IF(V$39,61.02,NA())</f>
        <v>#N/A</v>
      </c>
      <c r="W87" s="82" t="e">
        <f>IF(W$39,61.23,NA())</f>
        <v>#N/A</v>
      </c>
      <c r="X87" s="82" t="e">
        <f>IF(X$39,95.87,NA())</f>
        <v>#N/A</v>
      </c>
      <c r="Y87" s="82" t="e">
        <f>IF(Y$39,69.1,NA())</f>
        <v>#N/A</v>
      </c>
      <c r="Z87" s="82">
        <f>IF(Z$39,40.28,NA())</f>
        <v>40.28</v>
      </c>
    </row>
    <row r="88" spans="1:26" x14ac:dyDescent="0.3">
      <c r="A88" s="81" t="s">
        <v>127</v>
      </c>
      <c r="B88" s="82">
        <f>IF(B$39,149.22,NA())</f>
        <v>149.22</v>
      </c>
      <c r="C88" s="82">
        <f>IF(C$39,110.12,NA())</f>
        <v>110.12</v>
      </c>
      <c r="D88" s="82">
        <f>IF(D$39,67.33,NA())</f>
        <v>67.33</v>
      </c>
      <c r="E88" s="82">
        <f>IF(E$39,66.72,NA())</f>
        <v>66.72</v>
      </c>
      <c r="F88" s="82">
        <f>IF(F$39,40.65,NA())</f>
        <v>40.65</v>
      </c>
      <c r="G88" s="82" t="e">
        <f>IF(G$39,76.98,NA())</f>
        <v>#N/A</v>
      </c>
      <c r="H88" s="82" t="e">
        <f>IF(H$39,58.45,NA())</f>
        <v>#N/A</v>
      </c>
      <c r="I88" s="82" t="e">
        <f>NA()</f>
        <v>#N/A</v>
      </c>
      <c r="J88" s="82" t="e">
        <f>IF(J$39,79.78,NA())</f>
        <v>#N/A</v>
      </c>
      <c r="K88" s="82" t="e">
        <f>IF(K$39,47.87,NA())</f>
        <v>#N/A</v>
      </c>
      <c r="L88" s="82" t="e">
        <f>IF(L$39,105.87,NA())</f>
        <v>#N/A</v>
      </c>
      <c r="M88" s="82">
        <f>IF(M$39,42.55,NA())</f>
        <v>42.55</v>
      </c>
      <c r="N88" s="82" t="e">
        <f>IF(N$39,35.76,NA())</f>
        <v>#N/A</v>
      </c>
      <c r="O88" s="82">
        <f>IF(O$39,49.83,NA())</f>
        <v>49.83</v>
      </c>
      <c r="P88" s="82" t="e">
        <f>IF(P$39,84.66,NA())</f>
        <v>#N/A</v>
      </c>
      <c r="Q88" s="82" t="e">
        <f>IF(Q$39,58.95,NA())</f>
        <v>#N/A</v>
      </c>
      <c r="R88" s="82" t="e">
        <f>IF(R$39,74.02,NA())</f>
        <v>#N/A</v>
      </c>
      <c r="S88" s="82" t="e">
        <f>IF(S$39,64.56,NA())</f>
        <v>#N/A</v>
      </c>
      <c r="T88" s="82" t="e">
        <f>IF(T$39,61.98,NA())</f>
        <v>#N/A</v>
      </c>
      <c r="U88" s="82" t="e">
        <f>NA()</f>
        <v>#N/A</v>
      </c>
      <c r="V88" s="82" t="e">
        <f>IF(V$39,60.61,NA())</f>
        <v>#N/A</v>
      </c>
      <c r="W88" s="82" t="e">
        <f>IF(W$39,60.8,NA())</f>
        <v>#N/A</v>
      </c>
      <c r="X88" s="82" t="e">
        <f>IF(X$39,95.44,NA())</f>
        <v>#N/A</v>
      </c>
      <c r="Y88" s="82" t="e">
        <f>IF(Y$39,70.72,NA())</f>
        <v>#N/A</v>
      </c>
      <c r="Z88" s="82">
        <f>IF(Z$39,40.61,NA())</f>
        <v>40.61</v>
      </c>
    </row>
    <row r="89" spans="1:26" x14ac:dyDescent="0.3">
      <c r="A89" s="81" t="s">
        <v>128</v>
      </c>
      <c r="B89" s="82">
        <f>IF(B$39,148.87,NA())</f>
        <v>148.87</v>
      </c>
      <c r="C89" s="82">
        <f>IF(C$39,109.05,NA())</f>
        <v>109.05</v>
      </c>
      <c r="D89" s="82">
        <f>IF(D$39,71.48,NA())</f>
        <v>71.48</v>
      </c>
      <c r="E89" s="82">
        <f>IF(E$39,65.28,NA())</f>
        <v>65.28</v>
      </c>
      <c r="F89" s="82">
        <f>IF(F$39,41.91,NA())</f>
        <v>41.91</v>
      </c>
      <c r="G89" s="82" t="e">
        <f>IF(G$39,74.68,NA())</f>
        <v>#N/A</v>
      </c>
      <c r="H89" s="82" t="e">
        <f>IF(H$39,57.12,NA())</f>
        <v>#N/A</v>
      </c>
      <c r="I89" s="82" t="e">
        <f>NA()</f>
        <v>#N/A</v>
      </c>
      <c r="J89" s="82" t="e">
        <f>IF(J$39,80.04,NA())</f>
        <v>#N/A</v>
      </c>
      <c r="K89" s="82" t="e">
        <f>IF(K$39,48.7,NA())</f>
        <v>#N/A</v>
      </c>
      <c r="L89" s="82" t="e">
        <f>IF(L$39,103.94,NA())</f>
        <v>#N/A</v>
      </c>
      <c r="M89" s="82">
        <f>IF(M$39,41.78,NA())</f>
        <v>41.78</v>
      </c>
      <c r="N89" s="82" t="e">
        <f>IF(N$39,36.65,NA())</f>
        <v>#N/A</v>
      </c>
      <c r="O89" s="82">
        <f>IF(O$39,48.66,NA())</f>
        <v>48.66</v>
      </c>
      <c r="P89" s="82" t="e">
        <f>IF(P$39,84.85,NA())</f>
        <v>#N/A</v>
      </c>
      <c r="Q89" s="82" t="e">
        <f>IF(Q$39,58.36,NA())</f>
        <v>#N/A</v>
      </c>
      <c r="R89" s="82" t="e">
        <f>IF(R$39,73.06,NA())</f>
        <v>#N/A</v>
      </c>
      <c r="S89" s="82" t="e">
        <f>IF(S$39,63.12,NA())</f>
        <v>#N/A</v>
      </c>
      <c r="T89" s="82" t="e">
        <f>IF(T$39,57.32,NA())</f>
        <v>#N/A</v>
      </c>
      <c r="U89" s="82" t="e">
        <f>NA()</f>
        <v>#N/A</v>
      </c>
      <c r="V89" s="82" t="e">
        <f>IF(V$39,59.19,NA())</f>
        <v>#N/A</v>
      </c>
      <c r="W89" s="82" t="e">
        <f>IF(W$39,60.8,NA())</f>
        <v>#N/A</v>
      </c>
      <c r="X89" s="82" t="e">
        <f>IF(X$39,91.59,NA())</f>
        <v>#N/A</v>
      </c>
      <c r="Y89" s="82" t="e">
        <f>IF(Y$39,69.21,NA())</f>
        <v>#N/A</v>
      </c>
      <c r="Z89" s="82">
        <f>IF(Z$39,39.62,NA())</f>
        <v>39.619999999999997</v>
      </c>
    </row>
    <row r="90" spans="1:26" x14ac:dyDescent="0.3">
      <c r="A90" s="81" t="s">
        <v>129</v>
      </c>
      <c r="B90" s="82">
        <f>IF(B$39,150.98,NA())</f>
        <v>150.97999999999999</v>
      </c>
      <c r="C90" s="82">
        <f>IF(C$39,106.9,NA())</f>
        <v>106.9</v>
      </c>
      <c r="D90" s="82">
        <f>IF(D$39,75.97,NA())</f>
        <v>75.97</v>
      </c>
      <c r="E90" s="82">
        <f>IF(E$39,64.8,NA())</f>
        <v>64.8</v>
      </c>
      <c r="F90" s="82">
        <f>IF(F$39,42.63,NA())</f>
        <v>42.63</v>
      </c>
      <c r="G90" s="82" t="e">
        <f>IF(G$39,72.99,NA())</f>
        <v>#N/A</v>
      </c>
      <c r="H90" s="82" t="e">
        <f>IF(H$39,57.39,NA())</f>
        <v>#N/A</v>
      </c>
      <c r="I90" s="82" t="e">
        <f>NA()</f>
        <v>#N/A</v>
      </c>
      <c r="J90" s="82" t="e">
        <f>IF(J$39,83.93,NA())</f>
        <v>#N/A</v>
      </c>
      <c r="K90" s="82" t="e">
        <f>IF(K$39,48.56,NA())</f>
        <v>#N/A</v>
      </c>
      <c r="L90" s="82" t="e">
        <f>IF(L$39,95.95,NA())</f>
        <v>#N/A</v>
      </c>
      <c r="M90" s="82">
        <f>IF(M$39,42.94,NA())</f>
        <v>42.94</v>
      </c>
      <c r="N90" s="82" t="e">
        <f>IF(N$39,37.53,NA())</f>
        <v>#N/A</v>
      </c>
      <c r="O90" s="82">
        <f>IF(O$39,48.56,NA())</f>
        <v>48.56</v>
      </c>
      <c r="P90" s="82" t="e">
        <f>IF(P$39,84.66,NA())</f>
        <v>#N/A</v>
      </c>
      <c r="Q90" s="82" t="e">
        <f>IF(Q$39,58.5,NA())</f>
        <v>#N/A</v>
      </c>
      <c r="R90" s="82" t="e">
        <f>IF(R$39,72.65,NA())</f>
        <v>#N/A</v>
      </c>
      <c r="S90" s="82" t="e">
        <f>IF(S$39,62.47,NA())</f>
        <v>#N/A</v>
      </c>
      <c r="T90" s="82" t="e">
        <f>IF(T$39,57.68,NA())</f>
        <v>#N/A</v>
      </c>
      <c r="U90" s="82" t="e">
        <f>NA()</f>
        <v>#N/A</v>
      </c>
      <c r="V90" s="82" t="e">
        <f>IF(V$39,57.46,NA())</f>
        <v>#N/A</v>
      </c>
      <c r="W90" s="82" t="e">
        <f>IF(W$39,59.38,NA())</f>
        <v>#N/A</v>
      </c>
      <c r="X90" s="82" t="e">
        <f>IF(X$39,89.45,NA())</f>
        <v>#N/A</v>
      </c>
      <c r="Y90" s="82" t="e">
        <f>IF(Y$39,67.26,NA())</f>
        <v>#N/A</v>
      </c>
      <c r="Z90" s="82">
        <f>IF(Z$39,39.29,NA())</f>
        <v>39.29</v>
      </c>
    </row>
    <row r="91" spans="1:26" x14ac:dyDescent="0.3">
      <c r="A91" s="81" t="s">
        <v>130</v>
      </c>
      <c r="B91" s="82">
        <f>IF(B$39,150.46,NA())</f>
        <v>150.46</v>
      </c>
      <c r="C91" s="82">
        <f>IF(C$39,100.82,NA())</f>
        <v>100.82</v>
      </c>
      <c r="D91" s="82">
        <f>IF(D$39,79.42,NA())</f>
        <v>79.42</v>
      </c>
      <c r="E91" s="82">
        <f>IF(E$39,66.24,NA())</f>
        <v>66.239999999999995</v>
      </c>
      <c r="F91" s="82">
        <f>IF(F$39,44.25,NA())</f>
        <v>44.25</v>
      </c>
      <c r="G91" s="82" t="e">
        <f>IF(G$39,73.59,NA())</f>
        <v>#N/A</v>
      </c>
      <c r="H91" s="82" t="e">
        <f>IF(H$39,58.05,NA())</f>
        <v>#N/A</v>
      </c>
      <c r="I91" s="82" t="e">
        <f>NA()</f>
        <v>#N/A</v>
      </c>
      <c r="J91" s="82" t="e">
        <f>IF(J$39,84.56,NA())</f>
        <v>#N/A</v>
      </c>
      <c r="K91" s="82" t="e">
        <f>IF(K$39,49.38,NA())</f>
        <v>#N/A</v>
      </c>
      <c r="L91" s="82" t="e">
        <f>IF(L$39,94.02,NA())</f>
        <v>#N/A</v>
      </c>
      <c r="M91" s="82">
        <f>IF(M$39,42.55,NA())</f>
        <v>42.55</v>
      </c>
      <c r="N91" s="82" t="e">
        <f>IF(N$39,38.86,NA())</f>
        <v>#N/A</v>
      </c>
      <c r="O91" s="82">
        <f>IF(O$39,49.41,NA())</f>
        <v>49.41</v>
      </c>
      <c r="P91" s="82" t="e">
        <f>IF(P$39,83.67,NA())</f>
        <v>#N/A</v>
      </c>
      <c r="Q91" s="82" t="e">
        <f>IF(Q$39,59.4,NA())</f>
        <v>#N/A</v>
      </c>
      <c r="R91" s="82" t="e">
        <f>IF(R$39,71.97,NA())</f>
        <v>#N/A</v>
      </c>
      <c r="S91" s="82" t="e">
        <f>IF(S$39,63.12,NA())</f>
        <v>#N/A</v>
      </c>
      <c r="T91" s="82" t="e">
        <f>IF(T$39,54.82,NA())</f>
        <v>#N/A</v>
      </c>
      <c r="U91" s="82" t="e">
        <f>NA()</f>
        <v>#N/A</v>
      </c>
      <c r="V91" s="82" t="e">
        <f>IF(V$39,55.52,NA())</f>
        <v>#N/A</v>
      </c>
      <c r="W91" s="82" t="e">
        <f>IF(W$39,58.67,NA())</f>
        <v>#N/A</v>
      </c>
      <c r="X91" s="82" t="e">
        <f>IF(X$39,84.31,NA())</f>
        <v>#N/A</v>
      </c>
      <c r="Y91" s="82" t="e">
        <f>IF(Y$39,67.91,NA())</f>
        <v>#N/A</v>
      </c>
      <c r="Z91" s="82">
        <f>IF(Z$39,40.28,NA())</f>
        <v>40.28</v>
      </c>
    </row>
    <row r="92" spans="1:26" x14ac:dyDescent="0.3">
      <c r="A92" s="81" t="s">
        <v>131</v>
      </c>
      <c r="B92" s="82">
        <f>IF(B$39,146.58,NA())</f>
        <v>146.58000000000001</v>
      </c>
      <c r="C92" s="82">
        <f>IF(C$39,94.39,NA())</f>
        <v>94.39</v>
      </c>
      <c r="D92" s="82">
        <f>IF(D$39,80.8,NA())</f>
        <v>80.8</v>
      </c>
      <c r="E92" s="82">
        <f>IF(E$39,67.68,NA())</f>
        <v>67.680000000000007</v>
      </c>
      <c r="F92" s="82">
        <f>IF(F$39,45.87,NA())</f>
        <v>45.87</v>
      </c>
      <c r="G92" s="82" t="e">
        <f>IF(G$39,74.8,NA())</f>
        <v>#N/A</v>
      </c>
      <c r="H92" s="82" t="e">
        <f>IF(H$39,58.72,NA())</f>
        <v>#N/A</v>
      </c>
      <c r="I92" s="82" t="e">
        <f>NA()</f>
        <v>#N/A</v>
      </c>
      <c r="J92" s="82" t="e">
        <f>IF(J$39,84.06,NA())</f>
        <v>#N/A</v>
      </c>
      <c r="K92" s="82" t="e">
        <f>IF(K$39,49.52,NA())</f>
        <v>#N/A</v>
      </c>
      <c r="L92" s="82" t="e">
        <f>IF(L$39,90.16,NA())</f>
        <v>#N/A</v>
      </c>
      <c r="M92" s="82">
        <f>IF(M$39,45.26,NA())</f>
        <v>45.26</v>
      </c>
      <c r="N92" s="82" t="e">
        <f>IF(N$39,36.65,NA())</f>
        <v>#N/A</v>
      </c>
      <c r="O92" s="82">
        <f>IF(O$39,49.09,NA())</f>
        <v>49.09</v>
      </c>
      <c r="P92" s="82" t="e">
        <f>IF(P$39,79.53,NA())</f>
        <v>#N/A</v>
      </c>
      <c r="Q92" s="82" t="e">
        <f>IF(Q$39,58.95,NA())</f>
        <v>#N/A</v>
      </c>
      <c r="R92" s="82" t="e">
        <f>IF(R$39,71.14,NA())</f>
        <v>#N/A</v>
      </c>
      <c r="S92" s="82" t="e">
        <f>IF(S$39,62.32,NA())</f>
        <v>#N/A</v>
      </c>
      <c r="T92" s="82" t="e">
        <f>IF(T$39,51.59,NA())</f>
        <v>#N/A</v>
      </c>
      <c r="U92" s="82" t="e">
        <f>NA()</f>
        <v>#N/A</v>
      </c>
      <c r="V92" s="82" t="e">
        <f>IF(V$39,54.71,NA())</f>
        <v>#N/A</v>
      </c>
      <c r="W92" s="82" t="e">
        <f>IF(W$39,56.67,NA())</f>
        <v>#N/A</v>
      </c>
      <c r="X92" s="82" t="e">
        <f>IF(X$39,80.89,NA())</f>
        <v>#N/A</v>
      </c>
      <c r="Y92" s="82" t="e">
        <f>IF(Y$39,66.72,NA())</f>
        <v>#N/A</v>
      </c>
      <c r="Z92" s="82">
        <f>IF(Z$39,40.28,NA())</f>
        <v>40.28</v>
      </c>
    </row>
    <row r="93" spans="1:26" x14ac:dyDescent="0.3">
      <c r="A93" s="81" t="s">
        <v>132</v>
      </c>
      <c r="B93" s="82">
        <f>IF(B$39,143.77,NA())</f>
        <v>143.77000000000001</v>
      </c>
      <c r="C93" s="82">
        <f>IF(C$39,92.96,NA())</f>
        <v>92.96</v>
      </c>
      <c r="D93" s="82">
        <f>IF(D$39,82.18,NA())</f>
        <v>82.18</v>
      </c>
      <c r="E93" s="82">
        <f>IF(E$39,65.76,NA())</f>
        <v>65.760000000000005</v>
      </c>
      <c r="F93" s="82">
        <f>IF(F$39,47.85,NA())</f>
        <v>47.85</v>
      </c>
      <c r="G93" s="82" t="e">
        <f>IF(G$39,73.11,NA())</f>
        <v>#N/A</v>
      </c>
      <c r="H93" s="82" t="e">
        <f>IF(H$39,57.12,NA())</f>
        <v>#N/A</v>
      </c>
      <c r="I93" s="82" t="e">
        <f>NA()</f>
        <v>#N/A</v>
      </c>
      <c r="J93" s="82" t="e">
        <f>IF(J$39,86.19,NA())</f>
        <v>#N/A</v>
      </c>
      <c r="K93" s="82" t="e">
        <f>IF(K$39,49.79,NA())</f>
        <v>#N/A</v>
      </c>
      <c r="L93" s="82" t="e">
        <f>IF(L$39,87.68,NA())</f>
        <v>#N/A</v>
      </c>
      <c r="M93" s="82">
        <f>IF(M$39,46.03,NA())</f>
        <v>46.03</v>
      </c>
      <c r="N93" s="82" t="e">
        <f>IF(N$39,34.88,NA())</f>
        <v>#N/A</v>
      </c>
      <c r="O93" s="82">
        <f>IF(O$39,48.13,NA())</f>
        <v>48.13</v>
      </c>
      <c r="P93" s="82" t="e">
        <f>IF(P$39,77.75,NA())</f>
        <v>#N/A</v>
      </c>
      <c r="Q93" s="82" t="e">
        <f>IF(Q$39,57.16,NA())</f>
        <v>#N/A</v>
      </c>
      <c r="R93" s="82" t="e">
        <f>IF(R$39,67.72,NA())</f>
        <v>#N/A</v>
      </c>
      <c r="S93" s="82" t="e">
        <f>IF(S$39,61.53,NA())</f>
        <v>#N/A</v>
      </c>
      <c r="T93" s="82" t="e">
        <f>IF(T$39,50.88,NA())</f>
        <v>#N/A</v>
      </c>
      <c r="U93" s="82" t="e">
        <f>NA()</f>
        <v>#N/A</v>
      </c>
      <c r="V93" s="82" t="e">
        <f>IF(V$39,54.81,NA())</f>
        <v>#N/A</v>
      </c>
      <c r="W93" s="82" t="e">
        <f>IF(W$39,56.11,NA())</f>
        <v>#N/A</v>
      </c>
      <c r="X93" s="82" t="e">
        <f>IF(X$39,80.03,NA())</f>
        <v>#N/A</v>
      </c>
      <c r="Y93" s="82" t="e">
        <f>IF(Y$39,65.53,NA())</f>
        <v>#N/A</v>
      </c>
      <c r="Z93" s="82">
        <f>IF(Z$39,38.96,NA())</f>
        <v>38.96</v>
      </c>
    </row>
    <row r="94" spans="1:26" x14ac:dyDescent="0.3">
      <c r="A94" s="81" t="s">
        <v>133</v>
      </c>
      <c r="B94" s="82">
        <f>IF(B$39,138.67,NA())</f>
        <v>138.66999999999999</v>
      </c>
      <c r="C94" s="82">
        <f>IF(C$39,84.38,NA())</f>
        <v>84.38</v>
      </c>
      <c r="D94" s="82">
        <f>IF(D$39,79.42,NA())</f>
        <v>79.42</v>
      </c>
      <c r="E94" s="82">
        <f>IF(E$39,58.56,NA())</f>
        <v>58.56</v>
      </c>
      <c r="F94" s="82">
        <f>IF(F$39,49.11,NA())</f>
        <v>49.11</v>
      </c>
      <c r="G94" s="82" t="e">
        <f>IF(G$39,71.54,NA())</f>
        <v>#N/A</v>
      </c>
      <c r="H94" s="82" t="e">
        <f>IF(H$39,56.59,NA())</f>
        <v>#N/A</v>
      </c>
      <c r="I94" s="82" t="e">
        <f>NA()</f>
        <v>#N/A</v>
      </c>
      <c r="J94" s="82" t="e">
        <f>IF(J$39,85.56,NA())</f>
        <v>#N/A</v>
      </c>
      <c r="K94" s="82" t="e">
        <f>IF(K$39,48.97,NA())</f>
        <v>#N/A</v>
      </c>
      <c r="L94" s="82" t="e">
        <f>IF(L$39,85.47,NA())</f>
        <v>#N/A</v>
      </c>
      <c r="M94" s="82">
        <f>IF(M$39,49.9,NA())</f>
        <v>49.9</v>
      </c>
      <c r="N94" s="82" t="e">
        <f>IF(N$39,36.21,NA())</f>
        <v>#N/A</v>
      </c>
      <c r="O94" s="82">
        <f>IF(O$39,47.81,NA())</f>
        <v>47.81</v>
      </c>
      <c r="P94" s="82" t="e">
        <f>IF(P$39,75.78,NA())</f>
        <v>#N/A</v>
      </c>
      <c r="Q94" s="82" t="e">
        <f>IF(Q$39,55.82,NA())</f>
        <v>#N/A</v>
      </c>
      <c r="R94" s="82" t="e">
        <f>IF(R$39,68.4,NA())</f>
        <v>#N/A</v>
      </c>
      <c r="S94" s="82" t="e">
        <f>IF(S$39,60.81,NA())</f>
        <v>#N/A</v>
      </c>
      <c r="T94" s="82" t="e">
        <f>IF(T$39,53.02,NA())</f>
        <v>#N/A</v>
      </c>
      <c r="U94" s="82" t="e">
        <f>NA()</f>
        <v>#N/A</v>
      </c>
      <c r="V94" s="82" t="e">
        <f>IF(V$39,53.08,NA())</f>
        <v>#N/A</v>
      </c>
      <c r="W94" s="82" t="e">
        <f>IF(W$39,55.54,NA())</f>
        <v>#N/A</v>
      </c>
      <c r="X94" s="82" t="e">
        <f>IF(X$39,73.18,NA())</f>
        <v>#N/A</v>
      </c>
      <c r="Y94" s="82" t="e">
        <f>IF(Y$39,63.15,NA())</f>
        <v>#N/A</v>
      </c>
      <c r="Z94" s="82">
        <f>IF(Z$39,38.96,NA())</f>
        <v>38.96</v>
      </c>
    </row>
    <row r="95" spans="1:26" x14ac:dyDescent="0.3">
      <c r="A95" s="81" t="s">
        <v>134</v>
      </c>
      <c r="B95" s="82">
        <f>IF(B$39,135.67,NA())</f>
        <v>135.66999999999999</v>
      </c>
      <c r="C95" s="82">
        <f>IF(C$39,77.94,NA())</f>
        <v>77.94</v>
      </c>
      <c r="D95" s="82">
        <f>IF(D$39,80.8,NA())</f>
        <v>80.8</v>
      </c>
      <c r="E95" s="82">
        <f>IF(E$39,54.72,NA())</f>
        <v>54.72</v>
      </c>
      <c r="F95" s="82">
        <f>IF(F$39,50.54,NA())</f>
        <v>50.54</v>
      </c>
      <c r="G95" s="82" t="e">
        <f>IF(G$39,71.42,NA())</f>
        <v>#N/A</v>
      </c>
      <c r="H95" s="82" t="e">
        <f>IF(H$39,56.06,NA())</f>
        <v>#N/A</v>
      </c>
      <c r="I95" s="82" t="e">
        <f>NA()</f>
        <v>#N/A</v>
      </c>
      <c r="J95" s="82" t="e">
        <f>IF(J$39,82.67,NA())</f>
        <v>#N/A</v>
      </c>
      <c r="K95" s="82" t="e">
        <f>IF(K$39,49.24,NA())</f>
        <v>#N/A</v>
      </c>
      <c r="L95" s="82" t="e">
        <f>IF(L$39,78.85,NA())</f>
        <v>#N/A</v>
      </c>
      <c r="M95" s="82">
        <f>IF(M$39,51.83,NA())</f>
        <v>51.83</v>
      </c>
      <c r="N95" s="82" t="e">
        <f>IF(N$39,37.09,NA())</f>
        <v>#N/A</v>
      </c>
      <c r="O95" s="82">
        <f>IF(O$39,46.01,NA())</f>
        <v>46.01</v>
      </c>
      <c r="P95" s="82" t="e">
        <f>IF(P$39,71.63,NA())</f>
        <v>#N/A</v>
      </c>
      <c r="Q95" s="82" t="e">
        <f>IF(Q$39,53.29,NA())</f>
        <v>#N/A</v>
      </c>
      <c r="R95" s="82" t="e">
        <f>IF(R$39,66.48,NA())</f>
        <v>#N/A</v>
      </c>
      <c r="S95" s="82" t="e">
        <f>IF(S$39,57.85,NA())</f>
        <v>#N/A</v>
      </c>
      <c r="T95" s="82" t="e">
        <f>IF(T$39,50.88,NA())</f>
        <v>#N/A</v>
      </c>
      <c r="U95" s="82" t="e">
        <f>NA()</f>
        <v>#N/A</v>
      </c>
      <c r="V95" s="82" t="e">
        <f>IF(V$39,51.14,NA())</f>
        <v>#N/A</v>
      </c>
      <c r="W95" s="82" t="e">
        <f>IF(W$39,54.11,NA())</f>
        <v>#N/A</v>
      </c>
      <c r="X95" s="82" t="e">
        <f>IF(X$39,68.48,NA())</f>
        <v>#N/A</v>
      </c>
      <c r="Y95" s="82" t="e">
        <f>IF(Y$39,60.67,NA())</f>
        <v>#N/A</v>
      </c>
      <c r="Z95" s="82">
        <f>IF(Z$39,38.29,NA())</f>
        <v>38.29</v>
      </c>
    </row>
    <row r="96" spans="1:26" x14ac:dyDescent="0.3">
      <c r="A96" s="81" t="s">
        <v>135</v>
      </c>
      <c r="B96" s="82">
        <f>IF(B$39,132.51,NA())</f>
        <v>132.51</v>
      </c>
      <c r="C96" s="82">
        <f>IF(C$39,79.37,NA())</f>
        <v>79.37</v>
      </c>
      <c r="D96" s="82">
        <f>IF(D$39,83.22,NA())</f>
        <v>83.22</v>
      </c>
      <c r="E96" s="82">
        <f>IF(E$39,53.76,NA())</f>
        <v>53.76</v>
      </c>
      <c r="F96" s="82">
        <f>IF(F$39,51.08,NA())</f>
        <v>51.08</v>
      </c>
      <c r="G96" s="82" t="e">
        <f>IF(G$39,69.12,NA())</f>
        <v>#N/A</v>
      </c>
      <c r="H96" s="82" t="e">
        <f>IF(H$39,54.6,NA())</f>
        <v>#N/A</v>
      </c>
      <c r="I96" s="82" t="e">
        <f>NA()</f>
        <v>#N/A</v>
      </c>
      <c r="J96" s="82" t="e">
        <f>IF(J$39,77.9,NA())</f>
        <v>#N/A</v>
      </c>
      <c r="K96" s="82" t="e">
        <f>IF(K$39,50.48,NA())</f>
        <v>#N/A</v>
      </c>
      <c r="L96" s="82" t="e">
        <f>IF(L$39,76.1,NA())</f>
        <v>#N/A</v>
      </c>
      <c r="M96" s="82">
        <f>IF(M$39,53.38,NA())</f>
        <v>53.38</v>
      </c>
      <c r="N96" s="82" t="e">
        <f>IF(N$39,39.74,NA())</f>
        <v>#N/A</v>
      </c>
      <c r="O96" s="82">
        <f>IF(O$39,44.94,NA())</f>
        <v>44.94</v>
      </c>
      <c r="P96" s="82" t="e">
        <f>IF(P$39,70.45,NA())</f>
        <v>#N/A</v>
      </c>
      <c r="Q96" s="82" t="e">
        <f>IF(Q$39,50.91,NA())</f>
        <v>#N/A</v>
      </c>
      <c r="R96" s="82" t="e">
        <f>IF(R$39,66.07,NA())</f>
        <v>#N/A</v>
      </c>
      <c r="S96" s="82" t="e">
        <f>IF(S$39,56.26,NA())</f>
        <v>#N/A</v>
      </c>
      <c r="T96" s="82" t="e">
        <f>IF(T$39,52.67,NA())</f>
        <v>#N/A</v>
      </c>
      <c r="U96" s="82" t="e">
        <f>NA()</f>
        <v>#N/A</v>
      </c>
      <c r="V96" s="82" t="e">
        <f>IF(V$39,48.8,NA())</f>
        <v>#N/A</v>
      </c>
      <c r="W96" s="82" t="e">
        <f>IF(W$39,54.25,NA())</f>
        <v>#N/A</v>
      </c>
      <c r="X96" s="82" t="e">
        <f>IF(X$39,65.48,NA())</f>
        <v>#N/A</v>
      </c>
      <c r="Y96" s="82" t="e">
        <f>IF(Y$39,57.64,NA())</f>
        <v>#N/A</v>
      </c>
      <c r="Z96" s="82">
        <f>IF(Z$39,39.62,NA())</f>
        <v>39.619999999999997</v>
      </c>
    </row>
    <row r="97" spans="1:26" x14ac:dyDescent="0.3">
      <c r="A97" s="81" t="s">
        <v>136</v>
      </c>
      <c r="B97" s="82">
        <f>IF(B$39,131.98,NA())</f>
        <v>131.97999999999999</v>
      </c>
      <c r="C97" s="82">
        <f>IF(C$39,74.01,NA())</f>
        <v>74.010000000000005</v>
      </c>
      <c r="D97" s="82">
        <f>IF(D$39,82.87,NA())</f>
        <v>82.87</v>
      </c>
      <c r="E97" s="82">
        <f>IF(E$39,53.28,NA())</f>
        <v>53.28</v>
      </c>
      <c r="F97" s="82">
        <f>IF(F$39,51.08,NA())</f>
        <v>51.08</v>
      </c>
      <c r="G97" s="82" t="e">
        <f>IF(G$39,65.86,NA())</f>
        <v>#N/A</v>
      </c>
      <c r="H97" s="82" t="e">
        <f>IF(H$39,51.01,NA())</f>
        <v>#N/A</v>
      </c>
      <c r="I97" s="82" t="e">
        <f>NA()</f>
        <v>#N/A</v>
      </c>
      <c r="J97" s="82" t="e">
        <f>IF(J$39,74.13,NA())</f>
        <v>#N/A</v>
      </c>
      <c r="K97" s="82" t="e">
        <f>IF(K$39,48.83,NA())</f>
        <v>#N/A</v>
      </c>
      <c r="L97" s="82" t="e">
        <f>IF(L$39,68.93,NA())</f>
        <v>#N/A</v>
      </c>
      <c r="M97" s="82">
        <f>IF(M$39,51.45,NA())</f>
        <v>51.45</v>
      </c>
      <c r="N97" s="82" t="e">
        <f>IF(N$39,39.3,NA())</f>
        <v>#N/A</v>
      </c>
      <c r="O97" s="82">
        <f>IF(O$39,43.03,NA())</f>
        <v>43.03</v>
      </c>
      <c r="P97" s="82" t="e">
        <f>IF(P$39,67.29,NA())</f>
        <v>#N/A</v>
      </c>
      <c r="Q97" s="82" t="e">
        <f>IF(Q$39,50.32,NA())</f>
        <v>#N/A</v>
      </c>
      <c r="R97" s="82" t="e">
        <f>IF(R$39,62.92,NA())</f>
        <v>#N/A</v>
      </c>
      <c r="S97" s="82" t="e">
        <f>IF(S$39,54.23,NA())</f>
        <v>#N/A</v>
      </c>
      <c r="T97" s="82" t="e">
        <f>IF(T$39,53.02,NA())</f>
        <v>#N/A</v>
      </c>
      <c r="U97" s="82" t="e">
        <f>NA()</f>
        <v>#N/A</v>
      </c>
      <c r="V97" s="82" t="e">
        <f>IF(V$39,45.64,NA())</f>
        <v>#N/A</v>
      </c>
      <c r="W97" s="82" t="e">
        <f>IF(W$39,51.12,NA())</f>
        <v>#N/A</v>
      </c>
      <c r="X97" s="82" t="e">
        <f>IF(X$39,62.91,NA())</f>
        <v>#N/A</v>
      </c>
      <c r="Y97" s="82" t="e">
        <f>IF(Y$39,54.5,NA())</f>
        <v>#N/A</v>
      </c>
      <c r="Z97" s="82">
        <f>IF(Z$39,38.63,NA())</f>
        <v>38.630000000000003</v>
      </c>
    </row>
    <row r="98" spans="1:26" x14ac:dyDescent="0.3">
      <c r="A98" s="81" t="s">
        <v>137</v>
      </c>
      <c r="B98" s="82">
        <f>IF(B$39,129.69,NA())</f>
        <v>129.69</v>
      </c>
      <c r="C98" s="82">
        <f>IF(C$39,67.93,NA())</f>
        <v>67.930000000000007</v>
      </c>
      <c r="D98" s="82">
        <f>IF(D$39,77,NA())</f>
        <v>77</v>
      </c>
      <c r="E98" s="82">
        <f>IF(E$39,54.24,NA())</f>
        <v>54.24</v>
      </c>
      <c r="F98" s="82">
        <f>IF(F$39,52.88,NA())</f>
        <v>52.88</v>
      </c>
      <c r="G98" s="82" t="e">
        <f>IF(G$39,63.8,NA())</f>
        <v>#N/A</v>
      </c>
      <c r="H98" s="82" t="e">
        <f>IF(H$39,48.22,NA())</f>
        <v>#N/A</v>
      </c>
      <c r="I98" s="82" t="e">
        <f>IF(I$39,62.9,NA())</f>
        <v>#N/A</v>
      </c>
      <c r="J98" s="82" t="e">
        <f>IF(J$39,69.98,NA())</f>
        <v>#N/A</v>
      </c>
      <c r="K98" s="82" t="e">
        <f>IF(K$39,47.6,NA())</f>
        <v>#N/A</v>
      </c>
      <c r="L98" s="82" t="e">
        <f>IF(L$39,65.07,NA())</f>
        <v>#N/A</v>
      </c>
      <c r="M98" s="82">
        <f>IF(M$39,49.51,NA())</f>
        <v>49.51</v>
      </c>
      <c r="N98" s="82" t="e">
        <f>IF(N$39,40.62,NA())</f>
        <v>#N/A</v>
      </c>
      <c r="O98" s="82">
        <f>IF(O$39,42.18,NA())</f>
        <v>42.18</v>
      </c>
      <c r="P98" s="82" t="e">
        <f>IF(P$39,65.71,NA())</f>
        <v>#N/A</v>
      </c>
      <c r="Q98" s="82" t="e">
        <f>IF(Q$39,49.42,NA())</f>
        <v>#N/A</v>
      </c>
      <c r="R98" s="82" t="e">
        <f>IF(R$39,59.49,NA())</f>
        <v>#N/A</v>
      </c>
      <c r="S98" s="82" t="e">
        <f>IF(S$39,54.67,NA())</f>
        <v>#N/A</v>
      </c>
      <c r="T98" s="82" t="e">
        <f>IF(T$39,51.59,NA())</f>
        <v>#N/A</v>
      </c>
      <c r="U98" s="82" t="e">
        <f>NA()</f>
        <v>#N/A</v>
      </c>
      <c r="V98" s="82" t="e">
        <f>IF(V$39,45.33,NA())</f>
        <v>#N/A</v>
      </c>
      <c r="W98" s="82" t="e">
        <f>IF(W$39,49.41,NA())</f>
        <v>#N/A</v>
      </c>
      <c r="X98" s="82" t="e">
        <f>IF(X$39,59.49,NA())</f>
        <v>#N/A</v>
      </c>
      <c r="Y98" s="82" t="e">
        <f>IF(Y$39,53.2,NA())</f>
        <v>#N/A</v>
      </c>
      <c r="Z98" s="82">
        <f>IF(Z$39,40.61,NA())</f>
        <v>40.61</v>
      </c>
    </row>
    <row r="99" spans="1:26" x14ac:dyDescent="0.3">
      <c r="A99" s="81" t="s">
        <v>138</v>
      </c>
      <c r="B99" s="82">
        <f>IF(B$39,121.77,NA())</f>
        <v>121.77</v>
      </c>
      <c r="C99" s="82">
        <f>IF(C$39,68.65,NA())</f>
        <v>68.650000000000006</v>
      </c>
      <c r="D99" s="82">
        <f>IF(D$39,76.66,NA())</f>
        <v>76.66</v>
      </c>
      <c r="E99" s="82">
        <f>IF(E$39,51.36,NA())</f>
        <v>51.36</v>
      </c>
      <c r="F99" s="82">
        <f>IF(F$39,55.4,NA())</f>
        <v>55.4</v>
      </c>
      <c r="G99" s="82" t="e">
        <f>IF(G$39,61.15,NA())</f>
        <v>#N/A</v>
      </c>
      <c r="H99" s="82" t="e">
        <f>IF(H$39,46.76,NA())</f>
        <v>#N/A</v>
      </c>
      <c r="I99" s="82" t="e">
        <f>IF(I$39,62.39,NA())</f>
        <v>#N/A</v>
      </c>
      <c r="J99" s="82" t="e">
        <f>IF(J$39,66.47,NA())</f>
        <v>#N/A</v>
      </c>
      <c r="K99" s="82" t="e">
        <f>IF(K$39,46.64,NA())</f>
        <v>#N/A</v>
      </c>
      <c r="L99" s="82" t="e">
        <f>IF(L$39,61.48,NA())</f>
        <v>#N/A</v>
      </c>
      <c r="M99" s="82">
        <f>IF(M$39,51.06,NA())</f>
        <v>51.06</v>
      </c>
      <c r="N99" s="82" t="e">
        <f>IF(N$39,39.74,NA())</f>
        <v>#N/A</v>
      </c>
      <c r="O99" s="82">
        <f>IF(O$39,41.65,NA())</f>
        <v>41.65</v>
      </c>
      <c r="P99" s="82" t="e">
        <f>IF(P$39,63.54,NA())</f>
        <v>#N/A</v>
      </c>
      <c r="Q99" s="82" t="e">
        <f>IF(Q$39,47.34,NA())</f>
        <v>#N/A</v>
      </c>
      <c r="R99" s="82" t="e">
        <f>IF(R$39,56.48,NA())</f>
        <v>#N/A</v>
      </c>
      <c r="S99" s="82" t="e">
        <f>IF(S$39,51.78,NA())</f>
        <v>#N/A</v>
      </c>
      <c r="T99" s="82" t="e">
        <f>IF(T$39,53.38,NA())</f>
        <v>#N/A</v>
      </c>
      <c r="U99" s="82">
        <f>IF(U$39,41.24,NA())</f>
        <v>41.24</v>
      </c>
      <c r="V99" s="82" t="e">
        <f>IF(V$39,45.13,NA())</f>
        <v>#N/A</v>
      </c>
      <c r="W99" s="82" t="e">
        <f>IF(W$39,48.7,NA())</f>
        <v>#N/A</v>
      </c>
      <c r="X99" s="82" t="e">
        <f>IF(X$39,57.35,NA())</f>
        <v>#N/A</v>
      </c>
      <c r="Y99" s="82" t="e">
        <f>IF(Y$39,51.91,NA())</f>
        <v>#N/A</v>
      </c>
      <c r="Z99" s="82">
        <f>IF(Z$39,40.61,NA())</f>
        <v>40.61</v>
      </c>
    </row>
    <row r="100" spans="1:26" x14ac:dyDescent="0.3">
      <c r="A100" s="81" t="s">
        <v>139</v>
      </c>
      <c r="B100" s="82">
        <f>IF(B$39,116.32,NA())</f>
        <v>116.32</v>
      </c>
      <c r="C100" s="82">
        <f>IF(C$39,67.22,NA())</f>
        <v>67.22</v>
      </c>
      <c r="D100" s="82">
        <f>IF(D$39,75.28,NA())</f>
        <v>75.28</v>
      </c>
      <c r="E100" s="82">
        <f>IF(E$39,51.84,NA())</f>
        <v>51.84</v>
      </c>
      <c r="F100" s="82">
        <f>IF(F$39,56.12,NA())</f>
        <v>56.12</v>
      </c>
      <c r="G100" s="82" t="e">
        <f>IF(G$39,59.82,NA())</f>
        <v>#N/A</v>
      </c>
      <c r="H100" s="82" t="e">
        <f>IF(H$39,45.83,NA())</f>
        <v>#N/A</v>
      </c>
      <c r="I100" s="82" t="e">
        <f>IF(I$39,60.74,NA())</f>
        <v>#N/A</v>
      </c>
      <c r="J100" s="82" t="e">
        <f>IF(J$39,68.6,NA())</f>
        <v>#N/A</v>
      </c>
      <c r="K100" s="82" t="e">
        <f>IF(K$39,44.44,NA())</f>
        <v>#N/A</v>
      </c>
      <c r="L100" s="82" t="e">
        <f>IF(L$39,59,NA())</f>
        <v>#N/A</v>
      </c>
      <c r="M100" s="82">
        <f>IF(M$39,55.31,NA())</f>
        <v>55.31</v>
      </c>
      <c r="N100" s="82" t="e">
        <f>IF(N$39,42.39,NA())</f>
        <v>#N/A</v>
      </c>
      <c r="O100" s="82">
        <f>IF(O$39,40.91,NA())</f>
        <v>40.909999999999997</v>
      </c>
      <c r="P100" s="82" t="e">
        <f>IF(P$39,59.99,NA())</f>
        <v>#N/A</v>
      </c>
      <c r="Q100" s="82" t="e">
        <f>IF(Q$39,46.45,NA())</f>
        <v>#N/A</v>
      </c>
      <c r="R100" s="82" t="e">
        <f>IF(R$39,54.97,NA())</f>
        <v>#N/A</v>
      </c>
      <c r="S100" s="82" t="e">
        <f>IF(S$39,50.84,NA())</f>
        <v>#N/A</v>
      </c>
      <c r="T100" s="82" t="e">
        <f>IF(T$39,53.02,NA())</f>
        <v>#N/A</v>
      </c>
      <c r="U100" s="82">
        <f>IF(U$39,41.06,NA())</f>
        <v>41.06</v>
      </c>
      <c r="V100" s="82" t="e">
        <f>IF(V$39,44.82,NA())</f>
        <v>#N/A</v>
      </c>
      <c r="W100" s="82" t="e">
        <f>IF(W$39,46.71,NA())</f>
        <v>#N/A</v>
      </c>
      <c r="X100" s="82" t="e">
        <f>IF(X$39,58.21,NA())</f>
        <v>#N/A</v>
      </c>
      <c r="Y100" s="82" t="e">
        <f>IF(Y$39,47.15,NA())</f>
        <v>#N/A</v>
      </c>
      <c r="Z100" s="82">
        <f>IF(Z$39,41.93,NA())</f>
        <v>41.93</v>
      </c>
    </row>
    <row r="101" spans="1:26" x14ac:dyDescent="0.3">
      <c r="A101" s="81" t="s">
        <v>140</v>
      </c>
      <c r="B101" s="82">
        <f>IF(B$39,111.74,NA())</f>
        <v>111.74</v>
      </c>
      <c r="C101" s="82">
        <f>IF(C$39,65.07,NA())</f>
        <v>65.069999999999993</v>
      </c>
      <c r="D101" s="82">
        <f>IF(D$39,67.68,NA())</f>
        <v>67.680000000000007</v>
      </c>
      <c r="E101" s="82">
        <f>IF(E$39,54.72,NA())</f>
        <v>54.72</v>
      </c>
      <c r="F101" s="82">
        <f>IF(F$39,56.84,NA())</f>
        <v>56.84</v>
      </c>
      <c r="G101" s="82" t="e">
        <f>IF(G$39,59.58,NA())</f>
        <v>#N/A</v>
      </c>
      <c r="H101" s="82" t="e">
        <f>IF(H$39,46.76,NA())</f>
        <v>#N/A</v>
      </c>
      <c r="I101" s="82" t="e">
        <f>IF(I$39,59.53,NA())</f>
        <v>#N/A</v>
      </c>
      <c r="J101" s="82" t="e">
        <f>IF(J$39,67.22,NA())</f>
        <v>#N/A</v>
      </c>
      <c r="K101" s="82" t="e">
        <f>IF(K$39,44.31,NA())</f>
        <v>#N/A</v>
      </c>
      <c r="L101" s="82" t="e">
        <f>IF(L$39,53.49,NA())</f>
        <v>#N/A</v>
      </c>
      <c r="M101" s="82">
        <f>IF(M$39,57.25,NA())</f>
        <v>57.25</v>
      </c>
      <c r="N101" s="82" t="e">
        <f>IF(N$39,44.15,NA())</f>
        <v>#N/A</v>
      </c>
      <c r="O101" s="82">
        <f>IF(O$39,41.65,NA())</f>
        <v>41.65</v>
      </c>
      <c r="P101" s="82" t="e">
        <f>IF(P$39,55.25,NA())</f>
        <v>#N/A</v>
      </c>
      <c r="Q101" s="82" t="e">
        <f>IF(Q$39,46.89,NA())</f>
        <v>#N/A</v>
      </c>
      <c r="R101" s="82" t="e">
        <f>IF(R$39,54.01,NA())</f>
        <v>#N/A</v>
      </c>
      <c r="S101" s="82" t="e">
        <f>IF(S$39,49.25,NA())</f>
        <v>#N/A</v>
      </c>
      <c r="T101" s="82" t="e">
        <f>IF(T$39,53.38,NA())</f>
        <v>#N/A</v>
      </c>
      <c r="U101" s="82">
        <f>IF(U$39,41.75,NA())</f>
        <v>41.75</v>
      </c>
      <c r="V101" s="82" t="e">
        <f>IF(V$39,42.99,NA())</f>
        <v>#N/A</v>
      </c>
      <c r="W101" s="82" t="e">
        <f>IF(W$39,44.86,NA())</f>
        <v>#N/A</v>
      </c>
      <c r="X101" s="82" t="e">
        <f>IF(X$39,56.49,NA())</f>
        <v>#N/A</v>
      </c>
      <c r="Y101" s="82" t="e">
        <f>IF(Y$39,46.07,NA())</f>
        <v>#N/A</v>
      </c>
      <c r="Z101" s="82">
        <f>IF(Z$39,39.95,NA())</f>
        <v>39.950000000000003</v>
      </c>
    </row>
    <row r="102" spans="1:26" x14ac:dyDescent="0.3">
      <c r="A102" s="81" t="s">
        <v>141</v>
      </c>
      <c r="B102" s="82">
        <f>IF(B$39,109.45,NA())</f>
        <v>109.45</v>
      </c>
      <c r="C102" s="82">
        <f>IF(C$39,60.78,NA())</f>
        <v>60.78</v>
      </c>
      <c r="D102" s="82">
        <f>IF(D$39,63.19,NA())</f>
        <v>63.19</v>
      </c>
      <c r="E102" s="82">
        <f>IF(E$39,52.8,NA())</f>
        <v>52.8</v>
      </c>
      <c r="F102" s="82">
        <f>IF(F$39,59.36,NA())</f>
        <v>59.36</v>
      </c>
      <c r="G102" s="82" t="e">
        <f>IF(G$39,59.58,NA())</f>
        <v>#N/A</v>
      </c>
      <c r="H102" s="82" t="e">
        <f>IF(H$39,46.36,NA())</f>
        <v>#N/A</v>
      </c>
      <c r="I102" s="82" t="e">
        <f>IF(I$39,58.96,NA())</f>
        <v>#N/A</v>
      </c>
      <c r="J102" s="82" t="e">
        <f>IF(J$39,63.32,NA())</f>
        <v>#N/A</v>
      </c>
      <c r="K102" s="82" t="e">
        <f>IF(K$39,45.81,NA())</f>
        <v>#N/A</v>
      </c>
      <c r="L102" s="82" t="e">
        <f>IF(L$39,54.31,NA())</f>
        <v>#N/A</v>
      </c>
      <c r="M102" s="82">
        <f>IF(M$39,57.64,NA())</f>
        <v>57.64</v>
      </c>
      <c r="N102" s="82" t="e">
        <f>IF(N$39,48.13,NA())</f>
        <v>#N/A</v>
      </c>
      <c r="O102" s="82">
        <f>IF(O$39,43.67,NA())</f>
        <v>43.67</v>
      </c>
      <c r="P102" s="82" t="e">
        <f>IF(P$39,53.28,NA())</f>
        <v>#N/A</v>
      </c>
      <c r="Q102" s="82" t="e">
        <f>IF(Q$39,46,NA())</f>
        <v>#N/A</v>
      </c>
      <c r="R102" s="82" t="e">
        <f>IF(R$39,52.78,NA())</f>
        <v>#N/A</v>
      </c>
      <c r="S102" s="82" t="e">
        <f>IF(S$39,47.74,NA())</f>
        <v>#N/A</v>
      </c>
      <c r="T102" s="82" t="e">
        <f>IF(T$39,50.52,NA())</f>
        <v>#N/A</v>
      </c>
      <c r="U102" s="82">
        <f>IF(U$39,41.36,NA())</f>
        <v>41.36</v>
      </c>
      <c r="V102" s="82" t="e">
        <f>IF(V$39,41.87,NA())</f>
        <v>#N/A</v>
      </c>
      <c r="W102" s="82" t="e">
        <f>IF(W$39,44.57,NA())</f>
        <v>#N/A</v>
      </c>
      <c r="X102" s="82" t="e">
        <f>IF(X$39,53.5,NA())</f>
        <v>#N/A</v>
      </c>
      <c r="Y102" s="82" t="e">
        <f>IF(Y$39,46.18,NA())</f>
        <v>#N/A</v>
      </c>
      <c r="Z102" s="82">
        <f>IF(Z$39,41.6,NA())</f>
        <v>41.6</v>
      </c>
    </row>
    <row r="103" spans="1:26" x14ac:dyDescent="0.3">
      <c r="A103" s="81" t="s">
        <v>142</v>
      </c>
      <c r="B103" s="82">
        <f>IF(B$39,105.58,NA())</f>
        <v>105.58</v>
      </c>
      <c r="C103" s="82">
        <f>IF(C$39,64.71,NA())</f>
        <v>64.709999999999994</v>
      </c>
      <c r="D103" s="82">
        <f>IF(D$39,60.08,NA())</f>
        <v>60.08</v>
      </c>
      <c r="E103" s="82">
        <f>IF(E$39,56.16,NA())</f>
        <v>56.16</v>
      </c>
      <c r="F103" s="82">
        <f>IF(F$39,59.36,NA())</f>
        <v>59.36</v>
      </c>
      <c r="G103" s="82" t="e">
        <f>IF(G$39,60.42,NA())</f>
        <v>#N/A</v>
      </c>
      <c r="H103" s="82" t="e">
        <f>IF(H$39,46.36,NA())</f>
        <v>#N/A</v>
      </c>
      <c r="I103" s="82" t="e">
        <f>IF(I$39,58.33,NA())</f>
        <v>#N/A</v>
      </c>
      <c r="J103" s="82" t="e">
        <f>IF(J$39,62.7,NA())</f>
        <v>#N/A</v>
      </c>
      <c r="K103" s="82" t="e">
        <f>IF(K$39,44.72,NA())</f>
        <v>#N/A</v>
      </c>
      <c r="L103" s="82" t="e">
        <f>IF(L$39,52.11,NA())</f>
        <v>#N/A</v>
      </c>
      <c r="M103" s="82">
        <f>IF(M$39,58.8,NA())</f>
        <v>58.8</v>
      </c>
      <c r="N103" s="82" t="e">
        <f>IF(N$39,49.01,NA())</f>
        <v>#N/A</v>
      </c>
      <c r="O103" s="82">
        <f>IF(O$39,43.99,NA())</f>
        <v>43.99</v>
      </c>
      <c r="P103" s="82" t="e">
        <f>IF(P$39,51.5,NA())</f>
        <v>#N/A</v>
      </c>
      <c r="Q103" s="82" t="e">
        <f>IF(Q$39,43.32,NA())</f>
        <v>#N/A</v>
      </c>
      <c r="R103" s="82" t="e">
        <f>IF(R$39,50.99,NA())</f>
        <v>#N/A</v>
      </c>
      <c r="S103" s="82" t="e">
        <f>IF(S$39,45.93,NA())</f>
        <v>#N/A</v>
      </c>
      <c r="T103" s="82" t="e">
        <f>IF(T$39,49.8,NA())</f>
        <v>#N/A</v>
      </c>
      <c r="U103" s="82">
        <f>IF(U$39,40.64,NA())</f>
        <v>40.64</v>
      </c>
      <c r="V103" s="82" t="e">
        <f>IF(V$39,41.87,NA())</f>
        <v>#N/A</v>
      </c>
      <c r="W103" s="82" t="e">
        <f>IF(W$39,44.14,NA())</f>
        <v>#N/A</v>
      </c>
      <c r="X103" s="82" t="e">
        <f>IF(X$39,49.65,NA())</f>
        <v>#N/A</v>
      </c>
      <c r="Y103" s="82" t="e">
        <f>IF(Y$39,44.66,NA())</f>
        <v>#N/A</v>
      </c>
      <c r="Z103" s="82">
        <f>IF(Z$39,41.93,NA())</f>
        <v>41.93</v>
      </c>
    </row>
    <row r="104" spans="1:26" x14ac:dyDescent="0.3">
      <c r="A104" s="81" t="s">
        <v>143</v>
      </c>
      <c r="B104" s="82">
        <f>IF(B$39,106.64,NA())</f>
        <v>106.64</v>
      </c>
      <c r="C104" s="82">
        <f>IF(C$39,66.14,NA())</f>
        <v>66.14</v>
      </c>
      <c r="D104" s="82">
        <f>IF(D$39,61.12,NA())</f>
        <v>61.12</v>
      </c>
      <c r="E104" s="82">
        <f>IF(E$39,53.28,NA())</f>
        <v>53.28</v>
      </c>
      <c r="F104" s="82">
        <f>IF(F$39,59.72,NA())</f>
        <v>59.72</v>
      </c>
      <c r="G104" s="82" t="e">
        <f>IF(G$39,59.09,NA())</f>
        <v>#N/A</v>
      </c>
      <c r="H104" s="82" t="e">
        <f>IF(H$39,48.35,NA())</f>
        <v>#N/A</v>
      </c>
      <c r="I104" s="82" t="e">
        <f>IF(I$39,57.94,NA())</f>
        <v>#N/A</v>
      </c>
      <c r="J104" s="82" t="e">
        <f>IF(J$39,62.07,NA())</f>
        <v>#N/A</v>
      </c>
      <c r="K104" s="82" t="e">
        <f>IF(K$39,46.36,NA())</f>
        <v>#N/A</v>
      </c>
      <c r="L104" s="82" t="e">
        <f>IF(L$39,52.94,NA())</f>
        <v>#N/A</v>
      </c>
      <c r="M104" s="82">
        <f>IF(M$39,54.93,NA())</f>
        <v>54.93</v>
      </c>
      <c r="N104" s="82" t="e">
        <f>IF(N$39,50.34,NA())</f>
        <v>#N/A</v>
      </c>
      <c r="O104" s="82">
        <f>IF(O$39,46.75,NA())</f>
        <v>46.75</v>
      </c>
      <c r="P104" s="82" t="e">
        <f>IF(P$39,51.31,NA())</f>
        <v>#N/A</v>
      </c>
      <c r="Q104" s="82" t="e">
        <f>IF(Q$39,43.77,NA())</f>
        <v>#N/A</v>
      </c>
      <c r="R104" s="82" t="e">
        <f>IF(R$39,50.72,NA())</f>
        <v>#N/A</v>
      </c>
      <c r="S104" s="82" t="e">
        <f>IF(S$39,45.64,NA())</f>
        <v>#N/A</v>
      </c>
      <c r="T104" s="82" t="e">
        <f>IF(T$39,49.44,NA())</f>
        <v>#N/A</v>
      </c>
      <c r="U104" s="82">
        <f>IF(U$39,41.36,NA())</f>
        <v>41.36</v>
      </c>
      <c r="V104" s="82" t="e">
        <f>IF(V$39,41.26,NA())</f>
        <v>#N/A</v>
      </c>
      <c r="W104" s="82" t="e">
        <f>IF(W$39,44.71,NA())</f>
        <v>#N/A</v>
      </c>
      <c r="X104" s="82" t="e">
        <f>IF(X$39,46.22,NA())</f>
        <v>#N/A</v>
      </c>
      <c r="Y104" s="82" t="e">
        <f>IF(Y$39,42.93,NA())</f>
        <v>#N/A</v>
      </c>
      <c r="Z104" s="82">
        <f>IF(Z$39,41.27,NA())</f>
        <v>41.27</v>
      </c>
    </row>
    <row r="105" spans="1:26" x14ac:dyDescent="0.3">
      <c r="A105" s="81" t="s">
        <v>144</v>
      </c>
      <c r="B105" s="82">
        <f>IF(B$39,101.54,NA())</f>
        <v>101.54</v>
      </c>
      <c r="C105" s="82">
        <f>IF(C$39,64,NA())</f>
        <v>64</v>
      </c>
      <c r="D105" s="82">
        <f>IF(D$39,61.46,NA())</f>
        <v>61.46</v>
      </c>
      <c r="E105" s="82">
        <f>IF(E$39,55.68,NA())</f>
        <v>55.68</v>
      </c>
      <c r="F105" s="82">
        <f>IF(F$39,59.54,NA())</f>
        <v>59.54</v>
      </c>
      <c r="G105" s="82" t="e">
        <f>IF(G$39,58.61,NA())</f>
        <v>#N/A</v>
      </c>
      <c r="H105" s="82" t="e">
        <f>IF(H$39,49.68,NA())</f>
        <v>#N/A</v>
      </c>
      <c r="I105" s="82" t="e">
        <f>IF(I$39,58.26,NA())</f>
        <v>#N/A</v>
      </c>
      <c r="J105" s="82" t="e">
        <f>IF(J$39,61.69,NA())</f>
        <v>#N/A</v>
      </c>
      <c r="K105" s="82" t="e">
        <f>IF(K$39,47.74,NA())</f>
        <v>#N/A</v>
      </c>
      <c r="L105" s="82" t="e">
        <f>IF(L$39,52.66,NA())</f>
        <v>#N/A</v>
      </c>
      <c r="M105" s="82">
        <f>IF(M$39,55.31,NA())</f>
        <v>55.31</v>
      </c>
      <c r="N105" s="82" t="e">
        <f>IF(N$39,51.22,NA())</f>
        <v>#N/A</v>
      </c>
      <c r="O105" s="82">
        <f>IF(O$39,47.49,NA())</f>
        <v>47.49</v>
      </c>
      <c r="P105" s="82" t="e">
        <f>IF(P$39,49.33,NA())</f>
        <v>#N/A</v>
      </c>
      <c r="Q105" s="82" t="e">
        <f>IF(Q$39,44.51,NA())</f>
        <v>#N/A</v>
      </c>
      <c r="R105" s="82" t="e">
        <f>IF(R$39,49.49,NA())</f>
        <v>#N/A</v>
      </c>
      <c r="S105" s="82" t="e">
        <f>IF(S$39,44.49,NA())</f>
        <v>#N/A</v>
      </c>
      <c r="T105" s="82" t="e">
        <f>IF(T$39,45.5,NA())</f>
        <v>#N/A</v>
      </c>
      <c r="U105" s="82">
        <f>IF(U$39,41.11,NA())</f>
        <v>41.11</v>
      </c>
      <c r="V105" s="82" t="e">
        <f>IF(V$39,39.73,NA())</f>
        <v>#N/A</v>
      </c>
      <c r="W105" s="82" t="e">
        <f>IF(W$39,44.86,NA())</f>
        <v>#N/A</v>
      </c>
      <c r="X105" s="82" t="e">
        <f>IF(X$39,41.51,NA())</f>
        <v>#N/A</v>
      </c>
      <c r="Y105" s="82" t="e">
        <f>IF(Y$39,41.85,NA())</f>
        <v>#N/A</v>
      </c>
      <c r="Z105" s="82">
        <f>IF(Z$39,41.93,NA())</f>
        <v>41.93</v>
      </c>
    </row>
    <row r="106" spans="1:26" x14ac:dyDescent="0.3">
      <c r="A106" s="81" t="s">
        <v>145</v>
      </c>
      <c r="B106" s="82">
        <f>IF(B$39,99.25,NA())</f>
        <v>99.25</v>
      </c>
      <c r="C106" s="82">
        <f>IF(C$39,65.07,NA())</f>
        <v>65.069999999999993</v>
      </c>
      <c r="D106" s="82">
        <f>IF(D$39,63.19,NA())</f>
        <v>63.19</v>
      </c>
      <c r="E106" s="82">
        <f>IF(E$39,57.12,NA())</f>
        <v>57.12</v>
      </c>
      <c r="F106" s="82">
        <f>IF(F$39,58.64,NA())</f>
        <v>58.64</v>
      </c>
      <c r="G106" s="82" t="e">
        <f>IF(G$39,56.67,NA())</f>
        <v>#N/A</v>
      </c>
      <c r="H106" s="82" t="e">
        <f>IF(H$39,50.48,NA())</f>
        <v>#N/A</v>
      </c>
      <c r="I106" s="82" t="e">
        <f>IF(I$39,59.41,NA())</f>
        <v>#N/A</v>
      </c>
      <c r="J106" s="82" t="e">
        <f>IF(J$39,59.56,NA())</f>
        <v>#N/A</v>
      </c>
      <c r="K106" s="82" t="e">
        <f>IF(K$39,49.24,NA())</f>
        <v>#N/A</v>
      </c>
      <c r="L106" s="82" t="e">
        <f>IF(L$39,51.56,NA())</f>
        <v>#N/A</v>
      </c>
      <c r="M106" s="82">
        <f>IF(M$39,51.83,NA())</f>
        <v>51.83</v>
      </c>
      <c r="N106" s="82" t="e">
        <f>IF(N$39,49.89,NA())</f>
        <v>#N/A</v>
      </c>
      <c r="O106" s="82">
        <f>IF(O$39,46.75,NA())</f>
        <v>46.75</v>
      </c>
      <c r="P106" s="82" t="e">
        <f>IF(P$39,47.56,NA())</f>
        <v>#N/A</v>
      </c>
      <c r="Q106" s="82" t="e">
        <f>IF(Q$39,44.06,NA())</f>
        <v>#N/A</v>
      </c>
      <c r="R106" s="82" t="e">
        <f>IF(R$39,50.17,NA())</f>
        <v>#N/A</v>
      </c>
      <c r="S106" s="82" t="e">
        <f>IF(S$39,43.69,NA())</f>
        <v>#N/A</v>
      </c>
      <c r="T106" s="82" t="e">
        <f>IF(T$39,43.35,NA())</f>
        <v>#N/A</v>
      </c>
      <c r="U106" s="82">
        <f>IF(U$39,40.51,NA())</f>
        <v>40.51</v>
      </c>
      <c r="V106" s="82" t="e">
        <f>IF(V$39,39.73,NA())</f>
        <v>#N/A</v>
      </c>
      <c r="W106" s="82" t="e">
        <f>IF(W$39,43,NA())</f>
        <v>#N/A</v>
      </c>
      <c r="X106" s="82" t="e">
        <f>IF(X$39,41.09,NA())</f>
        <v>#N/A</v>
      </c>
      <c r="Y106" s="82" t="e">
        <f>IF(Y$39,39.04,NA())</f>
        <v>#N/A</v>
      </c>
      <c r="Z106" s="82">
        <f>IF(Z$39,42.26,NA())</f>
        <v>42.26</v>
      </c>
    </row>
    <row r="107" spans="1:26" x14ac:dyDescent="0.3">
      <c r="A107" s="81" t="s">
        <v>146</v>
      </c>
      <c r="B107" s="82">
        <f>IF(B$39,93.27,NA())</f>
        <v>93.27</v>
      </c>
      <c r="C107" s="82">
        <f>IF(C$39,67.22,NA())</f>
        <v>67.22</v>
      </c>
      <c r="D107" s="82">
        <f>IF(D$39,62.85,NA())</f>
        <v>62.85</v>
      </c>
      <c r="E107" s="82">
        <f>IF(E$39,60.96,NA())</f>
        <v>60.96</v>
      </c>
      <c r="F107" s="82">
        <f>IF(F$39,57.56,NA())</f>
        <v>57.56</v>
      </c>
      <c r="G107" s="82" t="e">
        <f>IF(G$39,56.07,NA())</f>
        <v>#N/A</v>
      </c>
      <c r="H107" s="82" t="e">
        <f>IF(H$39,49.42,NA())</f>
        <v>#N/A</v>
      </c>
      <c r="I107" s="82" t="e">
        <f>IF(I$39,58.9,NA())</f>
        <v>#N/A</v>
      </c>
      <c r="J107" s="82" t="e">
        <f>IF(J$39,58.8,NA())</f>
        <v>#N/A</v>
      </c>
      <c r="K107" s="82" t="e">
        <f>IF(K$39,49.79,NA())</f>
        <v>#N/A</v>
      </c>
      <c r="L107" s="82" t="e">
        <f>IF(L$39,49.08,NA())</f>
        <v>#N/A</v>
      </c>
      <c r="M107" s="82">
        <f>IF(M$39,50.29,NA())</f>
        <v>50.29</v>
      </c>
      <c r="N107" s="82" t="e">
        <f>IF(N$39,49.89,NA())</f>
        <v>#N/A</v>
      </c>
      <c r="O107" s="82">
        <f>IF(O$39,46.43,NA())</f>
        <v>46.43</v>
      </c>
      <c r="P107" s="82" t="e">
        <f>IF(P$39,48.15,NA())</f>
        <v>#N/A</v>
      </c>
      <c r="Q107" s="82" t="e">
        <f>IF(Q$39,43.77,NA())</f>
        <v>#N/A</v>
      </c>
      <c r="R107" s="82" t="e">
        <f>IF(R$39,48.25,NA())</f>
        <v>#N/A</v>
      </c>
      <c r="S107" s="82" t="e">
        <f>IF(S$39,42.9,NA())</f>
        <v>#N/A</v>
      </c>
      <c r="T107" s="82" t="e">
        <f>IF(T$39,43.35,NA())</f>
        <v>#N/A</v>
      </c>
      <c r="U107" s="82">
        <f>IF(U$39,40.17,NA())</f>
        <v>40.17</v>
      </c>
      <c r="V107" s="82" t="e">
        <f>IF(V$39,39.53,NA())</f>
        <v>#N/A</v>
      </c>
      <c r="W107" s="82" t="e">
        <f>IF(W$39,42.29,NA())</f>
        <v>#N/A</v>
      </c>
      <c r="X107" s="82" t="e">
        <f>IF(X$39,40.23,NA())</f>
        <v>#N/A</v>
      </c>
      <c r="Y107" s="82" t="e">
        <f>IF(Y$39,38.17,NA())</f>
        <v>#N/A</v>
      </c>
      <c r="Z107" s="82">
        <f>IF(Z$39,39.62,NA())</f>
        <v>39.619999999999997</v>
      </c>
    </row>
    <row r="108" spans="1:26" x14ac:dyDescent="0.3">
      <c r="A108" s="81" t="s">
        <v>147</v>
      </c>
      <c r="B108" s="82">
        <f>IF(B$39,89.75,NA())</f>
        <v>89.75</v>
      </c>
      <c r="C108" s="82">
        <f>IF(C$39,66.5,NA())</f>
        <v>66.5</v>
      </c>
      <c r="D108" s="82">
        <f>IF(D$39,61.12,NA())</f>
        <v>61.12</v>
      </c>
      <c r="E108" s="82">
        <f>IF(E$39,59.52,NA())</f>
        <v>59.52</v>
      </c>
      <c r="F108" s="82">
        <f>IF(F$39,58.28,NA())</f>
        <v>58.28</v>
      </c>
      <c r="G108" s="82" t="e">
        <f>IF(G$39,56.8,NA())</f>
        <v>#N/A</v>
      </c>
      <c r="H108" s="82" t="e">
        <f>IF(H$39,51.94,NA())</f>
        <v>#N/A</v>
      </c>
      <c r="I108" s="82" t="e">
        <f>IF(I$39,56.55,NA())</f>
        <v>#N/A</v>
      </c>
      <c r="J108" s="82" t="e">
        <f>IF(J$39,59.56,NA())</f>
        <v>#N/A</v>
      </c>
      <c r="K108" s="82" t="e">
        <f>IF(K$39,48.42,NA())</f>
        <v>#N/A</v>
      </c>
      <c r="L108" s="82" t="e">
        <f>IF(L$39,47.42,NA())</f>
        <v>#N/A</v>
      </c>
      <c r="M108" s="82">
        <f>IF(M$39,49.13,NA())</f>
        <v>49.13</v>
      </c>
      <c r="N108" s="82" t="e">
        <f>IF(N$39,48.57,NA())</f>
        <v>#N/A</v>
      </c>
      <c r="O108" s="82">
        <f>IF(O$39,45.05,NA())</f>
        <v>45.05</v>
      </c>
      <c r="P108" s="82" t="e">
        <f>IF(P$39,47.36,NA())</f>
        <v>#N/A</v>
      </c>
      <c r="Q108" s="82" t="e">
        <f>IF(Q$39,44.06,NA())</f>
        <v>#N/A</v>
      </c>
      <c r="R108" s="82" t="e">
        <f>IF(R$39,46.88,NA())</f>
        <v>#N/A</v>
      </c>
      <c r="S108" s="82" t="e">
        <f>IF(S$39,43.33,NA())</f>
        <v>#N/A</v>
      </c>
      <c r="T108" s="82" t="e">
        <f>IF(T$39,40.49,NA())</f>
        <v>#N/A</v>
      </c>
      <c r="U108" s="82">
        <f>IF(U$39,39.91,NA())</f>
        <v>39.909999999999997</v>
      </c>
      <c r="V108" s="82" t="e">
        <f>IF(V$39,39.12,NA())</f>
        <v>#N/A</v>
      </c>
      <c r="W108" s="82" t="e">
        <f>IF(W$39,40.44,NA())</f>
        <v>#N/A</v>
      </c>
      <c r="X108" s="82" t="e">
        <f>IF(X$39,38.95,NA())</f>
        <v>#N/A</v>
      </c>
      <c r="Y108" s="82" t="e">
        <f>IF(Y$39,38.17,NA())</f>
        <v>#N/A</v>
      </c>
      <c r="Z108" s="82">
        <f>IF(Z$39,38.29,NA())</f>
        <v>38.29</v>
      </c>
    </row>
    <row r="109" spans="1:26" x14ac:dyDescent="0.3">
      <c r="A109" s="81" t="s">
        <v>148</v>
      </c>
      <c r="B109" s="82">
        <f>IF(B$39,88.16,NA())</f>
        <v>88.16</v>
      </c>
      <c r="C109" s="82">
        <f>IF(C$39,66.14,NA())</f>
        <v>66.14</v>
      </c>
      <c r="D109" s="82">
        <f>IF(D$39,60.08,NA())</f>
        <v>60.08</v>
      </c>
      <c r="E109" s="82">
        <f>IF(E$39,59.52,NA())</f>
        <v>59.52</v>
      </c>
      <c r="F109" s="82">
        <f>IF(F$39,59.54,NA())</f>
        <v>59.54</v>
      </c>
      <c r="G109" s="82" t="e">
        <f>IF(G$39,56.43,NA())</f>
        <v>#N/A</v>
      </c>
      <c r="H109" s="82" t="e">
        <f>IF(H$39,53.67,NA())</f>
        <v>#N/A</v>
      </c>
      <c r="I109" s="82" t="e">
        <f>IF(I$39,55.85,NA())</f>
        <v>#N/A</v>
      </c>
      <c r="J109" s="82" t="e">
        <f>IF(J$39,56.54,NA())</f>
        <v>#N/A</v>
      </c>
      <c r="K109" s="82" t="e">
        <f>IF(K$39,49.52,NA())</f>
        <v>#N/A</v>
      </c>
      <c r="L109" s="82" t="e">
        <f>IF(L$39,48.52,NA())</f>
        <v>#N/A</v>
      </c>
      <c r="M109" s="82">
        <f>IF(M$39,49.13,NA())</f>
        <v>49.13</v>
      </c>
      <c r="N109" s="82" t="e">
        <f>IF(N$39,48.13,NA())</f>
        <v>#N/A</v>
      </c>
      <c r="O109" s="82">
        <f>IF(O$39,46.22,NA())</f>
        <v>46.22</v>
      </c>
      <c r="P109" s="82" t="e">
        <f>IF(P$39,46.97,NA())</f>
        <v>#N/A</v>
      </c>
      <c r="Q109" s="82" t="e">
        <f>IF(Q$39,44.81,NA())</f>
        <v>#N/A</v>
      </c>
      <c r="R109" s="82" t="e">
        <f>IF(R$39,44.14,NA())</f>
        <v>#N/A</v>
      </c>
      <c r="S109" s="82" t="e">
        <f>IF(S$39,42.39,NA())</f>
        <v>#N/A</v>
      </c>
      <c r="T109" s="82" t="e">
        <f>IF(T$39,39.05,NA())</f>
        <v>#N/A</v>
      </c>
      <c r="U109" s="82">
        <f>IF(U$39,39.61,NA())</f>
        <v>39.61</v>
      </c>
      <c r="V109" s="82" t="e">
        <f>IF(V$39,38.71,NA())</f>
        <v>#N/A</v>
      </c>
      <c r="W109" s="82" t="e">
        <f>IF(W$39,39.59,NA())</f>
        <v>#N/A</v>
      </c>
      <c r="X109" s="82" t="e">
        <f>IF(X$39,38.09,NA())</f>
        <v>#N/A</v>
      </c>
      <c r="Y109" s="82" t="e">
        <f>IF(Y$39,38.06,NA())</f>
        <v>#N/A</v>
      </c>
      <c r="Z109" s="82">
        <f>IF(Z$39,38.29,NA())</f>
        <v>38.29</v>
      </c>
    </row>
    <row r="110" spans="1:26" x14ac:dyDescent="0.3">
      <c r="A110" s="81" t="s">
        <v>149</v>
      </c>
      <c r="B110" s="82">
        <f>IF(B$39,87.63,NA())</f>
        <v>87.63</v>
      </c>
      <c r="C110" s="82">
        <f>IF(C$39,64.36,NA())</f>
        <v>64.36</v>
      </c>
      <c r="D110" s="82">
        <f>IF(D$39,63.54,NA())</f>
        <v>63.54</v>
      </c>
      <c r="E110" s="82">
        <f>IF(E$39,60.96,NA())</f>
        <v>60.96</v>
      </c>
      <c r="F110" s="82">
        <f>IF(F$39,57.92,NA())</f>
        <v>57.92</v>
      </c>
      <c r="G110" s="82" t="e">
        <f>IF(G$39,57.16,NA())</f>
        <v>#N/A</v>
      </c>
      <c r="H110" s="82" t="e">
        <f>IF(H$39,55.4,NA())</f>
        <v>#N/A</v>
      </c>
      <c r="I110" s="82" t="e">
        <f>IF(I$39,55.28,NA())</f>
        <v>#N/A</v>
      </c>
      <c r="J110" s="82" t="e">
        <f>IF(J$39,53.15,NA())</f>
        <v>#N/A</v>
      </c>
      <c r="K110" s="82" t="e">
        <f>IF(K$39,50.75,NA())</f>
        <v>#N/A</v>
      </c>
      <c r="L110" s="82" t="e">
        <f>IF(L$39,48.52,NA())</f>
        <v>#N/A</v>
      </c>
      <c r="M110" s="82">
        <f>IF(M$39,47.58,NA())</f>
        <v>47.58</v>
      </c>
      <c r="N110" s="82" t="e">
        <f>IF(N$39,47.24,NA())</f>
        <v>#N/A</v>
      </c>
      <c r="O110" s="82">
        <f>IF(O$39,46.22,NA())</f>
        <v>46.22</v>
      </c>
      <c r="P110" s="82" t="e">
        <f>IF(P$39,45.98,NA())</f>
        <v>#N/A</v>
      </c>
      <c r="Q110" s="82" t="e">
        <f>IF(Q$39,45.85,NA())</f>
        <v>#N/A</v>
      </c>
      <c r="R110" s="82" t="e">
        <f>IF(R$39,42.22,NA())</f>
        <v>#N/A</v>
      </c>
      <c r="S110" s="82" t="e">
        <f>IF(S$39,42.03,NA())</f>
        <v>#N/A</v>
      </c>
      <c r="T110" s="82" t="e">
        <f>IF(T$39,39.77,NA())</f>
        <v>#N/A</v>
      </c>
      <c r="U110" s="82">
        <f>IF(U$39,39.36,NA())</f>
        <v>39.36</v>
      </c>
      <c r="V110" s="82" t="e">
        <f>IF(V$39,39.22,NA())</f>
        <v>#N/A</v>
      </c>
      <c r="W110" s="82" t="e">
        <f>IF(W$39,38.45,NA())</f>
        <v>#N/A</v>
      </c>
      <c r="X110" s="82" t="e">
        <f>IF(X$39,36.81,NA())</f>
        <v>#N/A</v>
      </c>
      <c r="Y110" s="82" t="e">
        <f>IF(Y$39,36.77,NA())</f>
        <v>#N/A</v>
      </c>
      <c r="Z110" s="82">
        <f>IF(Z$39,36.64,NA())</f>
        <v>36.64</v>
      </c>
    </row>
    <row r="111" spans="1:26" x14ac:dyDescent="0.3">
      <c r="A111" s="81" t="s">
        <v>150</v>
      </c>
      <c r="B111" s="82" t="e">
        <f>NA()</f>
        <v>#N/A</v>
      </c>
      <c r="C111" s="82" t="e">
        <f>NA()</f>
        <v>#N/A</v>
      </c>
      <c r="D111" s="82" t="e">
        <f>NA()</f>
        <v>#N/A</v>
      </c>
      <c r="E111" s="82" t="e">
        <f>NA()</f>
        <v>#N/A</v>
      </c>
      <c r="F111" s="82">
        <f>IF(F$39,61.88,NA())</f>
        <v>61.88</v>
      </c>
      <c r="G111" s="82" t="e">
        <f>NA()</f>
        <v>#N/A</v>
      </c>
      <c r="H111" s="82" t="e">
        <f>NA()</f>
        <v>#N/A</v>
      </c>
      <c r="I111" s="82" t="e">
        <f>NA()</f>
        <v>#N/A</v>
      </c>
      <c r="J111" s="82" t="e">
        <f>NA()</f>
        <v>#N/A</v>
      </c>
      <c r="K111" s="82" t="e">
        <f>NA()</f>
        <v>#N/A</v>
      </c>
      <c r="L111" s="82" t="e">
        <f>NA()</f>
        <v>#N/A</v>
      </c>
      <c r="M111" s="82" t="e">
        <f>NA()</f>
        <v>#N/A</v>
      </c>
      <c r="N111" s="82" t="e">
        <f>NA()</f>
        <v>#N/A</v>
      </c>
      <c r="O111" s="82" t="e">
        <f>NA()</f>
        <v>#N/A</v>
      </c>
      <c r="P111" s="82" t="e">
        <f>NA()</f>
        <v>#N/A</v>
      </c>
      <c r="Q111" s="82" t="e">
        <f>NA()</f>
        <v>#N/A</v>
      </c>
      <c r="R111" s="82" t="e">
        <f>NA()</f>
        <v>#N/A</v>
      </c>
      <c r="S111" s="82" t="e">
        <f>NA()</f>
        <v>#N/A</v>
      </c>
      <c r="T111" s="82" t="e">
        <f>NA()</f>
        <v>#N/A</v>
      </c>
      <c r="U111" s="82" t="e">
        <f>NA()</f>
        <v>#N/A</v>
      </c>
      <c r="V111" s="82" t="e">
        <f>NA()</f>
        <v>#N/A</v>
      </c>
      <c r="W111" s="82" t="e">
        <f>NA()</f>
        <v>#N/A</v>
      </c>
      <c r="X111" s="82" t="e">
        <f>NA()</f>
        <v>#N/A</v>
      </c>
      <c r="Y111" s="82" t="e">
        <f>NA()</f>
        <v>#N/A</v>
      </c>
      <c r="Z111" s="82" t="e">
        <f>NA()</f>
        <v>#N/A</v>
      </c>
    </row>
  </sheetData>
  <dataValidations count="1">
    <dataValidation type="list" allowBlank="1" sqref="B39:Z39" xr:uid="{00000000-0002-0000-0100-000000000000}">
      <formula1>"TRUE,FALSE"</formula1>
    </dataValidation>
  </dataValidations>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11"/>
  <sheetViews>
    <sheetView showGridLines="0" tabSelected="1" workbookViewId="0">
      <pane ySplit="5" topLeftCell="A6" activePane="bottomLeft" state="frozen"/>
      <selection pane="bottomLeft"/>
    </sheetView>
  </sheetViews>
  <sheetFormatPr defaultRowHeight="14.4" x14ac:dyDescent="0.3"/>
  <cols>
    <col min="1" max="1" width="8" customWidth="1"/>
    <col min="2" max="2" width="30" customWidth="1"/>
    <col min="3" max="3" width="22" customWidth="1"/>
    <col min="4" max="4" width="16" customWidth="1"/>
    <col min="5" max="6" width="18" customWidth="1"/>
    <col min="7" max="7" width="14" customWidth="1"/>
  </cols>
  <sheetData>
    <row r="1" spans="1:7" ht="17.399999999999999" customHeight="1" x14ac:dyDescent="0.3">
      <c r="A1" s="1" t="s">
        <v>0</v>
      </c>
    </row>
    <row r="2" spans="1:7" x14ac:dyDescent="0.3">
      <c r="A2" s="2" t="s">
        <v>1</v>
      </c>
    </row>
    <row r="3" spans="1:7" x14ac:dyDescent="0.3">
      <c r="A3" s="2" t="s">
        <v>2</v>
      </c>
    </row>
    <row r="5" spans="1:7" ht="36" customHeight="1" x14ac:dyDescent="0.3">
      <c r="A5" s="6" t="s">
        <v>3</v>
      </c>
      <c r="B5" s="6" t="s">
        <v>4</v>
      </c>
      <c r="C5" s="6" t="s">
        <v>5</v>
      </c>
      <c r="D5" s="6" t="s">
        <v>6</v>
      </c>
      <c r="E5" s="6" t="s">
        <v>7</v>
      </c>
      <c r="F5" s="6" t="s">
        <v>8</v>
      </c>
      <c r="G5" s="6" t="s">
        <v>9</v>
      </c>
    </row>
    <row r="6" spans="1:7" x14ac:dyDescent="0.3">
      <c r="A6" s="16">
        <v>1</v>
      </c>
      <c r="B6" s="17" t="s">
        <v>10</v>
      </c>
      <c r="C6" s="17" t="s">
        <v>11</v>
      </c>
      <c r="D6" s="18">
        <f>'CDC Source Data'!D31</f>
        <v>568271</v>
      </c>
      <c r="E6" s="18">
        <f>'CDC Source Data'!E31</f>
        <v>498</v>
      </c>
      <c r="F6" s="19">
        <f t="shared" ref="F6:F30" si="0">E6/D6*100000</f>
        <v>87.634244928915962</v>
      </c>
      <c r="G6" s="20">
        <f>'CDC Source Data'!F31</f>
        <v>0.23</v>
      </c>
    </row>
    <row r="7" spans="1:7" x14ac:dyDescent="0.3">
      <c r="A7" s="21">
        <v>2</v>
      </c>
      <c r="B7" s="22" t="s">
        <v>12</v>
      </c>
      <c r="C7" s="22" t="s">
        <v>13</v>
      </c>
      <c r="D7" s="23">
        <f>'CDC Source Data'!D523</f>
        <v>555947</v>
      </c>
      <c r="E7" s="23">
        <f>'CDC Source Data'!E523</f>
        <v>322</v>
      </c>
      <c r="F7" s="24">
        <f t="shared" si="0"/>
        <v>57.919190138628331</v>
      </c>
      <c r="G7" s="25">
        <f>'CDC Source Data'!F523</f>
        <v>0.02</v>
      </c>
    </row>
    <row r="8" spans="1:7" x14ac:dyDescent="0.3">
      <c r="A8" s="16">
        <v>3</v>
      </c>
      <c r="B8" s="17" t="s">
        <v>14</v>
      </c>
      <c r="C8" s="17" t="s">
        <v>15</v>
      </c>
      <c r="D8" s="18">
        <f>'CDC Source Data'!D485</f>
        <v>827526</v>
      </c>
      <c r="E8" s="18">
        <f>'CDC Source Data'!E485</f>
        <v>473</v>
      </c>
      <c r="F8" s="19">
        <f t="shared" si="0"/>
        <v>57.15832493480567</v>
      </c>
      <c r="G8" s="20">
        <f>'CDC Source Data'!F485</f>
        <v>0.02</v>
      </c>
    </row>
    <row r="9" spans="1:7" x14ac:dyDescent="0.3">
      <c r="A9" s="16">
        <v>4</v>
      </c>
      <c r="B9" s="17" t="s">
        <v>16</v>
      </c>
      <c r="C9" s="17" t="s">
        <v>17</v>
      </c>
      <c r="D9" s="18">
        <f>'CDC Source Data'!D174</f>
        <v>752772</v>
      </c>
      <c r="E9" s="18">
        <f>'CDC Source Data'!E174</f>
        <v>417</v>
      </c>
      <c r="F9" s="19">
        <f t="shared" si="0"/>
        <v>55.395259122284038</v>
      </c>
      <c r="G9" s="20">
        <f>'CDC Source Data'!F174</f>
        <v>0.03</v>
      </c>
    </row>
    <row r="10" spans="1:7" x14ac:dyDescent="0.3">
      <c r="A10" s="16">
        <v>5</v>
      </c>
      <c r="B10" s="17" t="s">
        <v>18</v>
      </c>
      <c r="C10" s="17" t="s">
        <v>19</v>
      </c>
      <c r="D10" s="18">
        <f>'CDC Source Data'!D436</f>
        <v>1573916</v>
      </c>
      <c r="E10" s="18">
        <f>'CDC Source Data'!E436</f>
        <v>870</v>
      </c>
      <c r="F10" s="19">
        <f t="shared" si="0"/>
        <v>55.27613926029089</v>
      </c>
      <c r="G10" s="20">
        <f>'CDC Source Data'!F436</f>
        <v>1.37</v>
      </c>
    </row>
    <row r="11" spans="1:7" x14ac:dyDescent="0.3">
      <c r="A11" s="16">
        <v>6</v>
      </c>
      <c r="B11" s="17" t="s">
        <v>20</v>
      </c>
      <c r="C11" s="17" t="s">
        <v>21</v>
      </c>
      <c r="D11" s="18">
        <f>'CDC Source Data'!D389</f>
        <v>795897</v>
      </c>
      <c r="E11" s="18">
        <f>'CDC Source Data'!E389</f>
        <v>423</v>
      </c>
      <c r="F11" s="19">
        <f t="shared" si="0"/>
        <v>53.147580654280638</v>
      </c>
      <c r="G11" s="20">
        <f>'CDC Source Data'!F389</f>
        <v>1.87</v>
      </c>
    </row>
    <row r="12" spans="1:7" x14ac:dyDescent="0.3">
      <c r="A12" s="16">
        <v>7</v>
      </c>
      <c r="B12" s="17" t="s">
        <v>22</v>
      </c>
      <c r="C12" s="17" t="s">
        <v>17</v>
      </c>
      <c r="D12" s="18">
        <f>'CDC Source Data'!D155</f>
        <v>729019</v>
      </c>
      <c r="E12" s="18">
        <f>'CDC Source Data'!E155</f>
        <v>370</v>
      </c>
      <c r="F12" s="19">
        <f t="shared" si="0"/>
        <v>50.753135377815944</v>
      </c>
      <c r="G12" s="20">
        <f>'CDC Source Data'!F155</f>
        <v>0.02</v>
      </c>
    </row>
    <row r="13" spans="1:7" x14ac:dyDescent="0.3">
      <c r="A13" s="16">
        <v>8</v>
      </c>
      <c r="B13" s="17" t="s">
        <v>23</v>
      </c>
      <c r="C13" s="17" t="s">
        <v>24</v>
      </c>
      <c r="D13" s="18">
        <f>'CDC Source Data'!D422</f>
        <v>362701</v>
      </c>
      <c r="E13" s="18">
        <f>'CDC Source Data'!E422</f>
        <v>176</v>
      </c>
      <c r="F13" s="19">
        <f t="shared" si="0"/>
        <v>48.52481796300534</v>
      </c>
      <c r="G13" s="20">
        <f>'CDC Source Data'!F422</f>
        <v>0.03</v>
      </c>
    </row>
    <row r="14" spans="1:7" x14ac:dyDescent="0.3">
      <c r="A14" s="26">
        <v>9</v>
      </c>
      <c r="B14" s="27" t="s">
        <v>25</v>
      </c>
      <c r="C14" s="27" t="s">
        <v>13</v>
      </c>
      <c r="D14" s="28">
        <f>'CDC Source Data'!D438</f>
        <v>941170</v>
      </c>
      <c r="E14" s="28">
        <f>'CDC Source Data'!E438</f>
        <v>435</v>
      </c>
      <c r="F14" s="29">
        <f t="shared" si="0"/>
        <v>46.219067756090823</v>
      </c>
      <c r="G14" s="30">
        <f>'CDC Source Data'!F438</f>
        <v>0.08</v>
      </c>
    </row>
    <row r="15" spans="1:7" x14ac:dyDescent="0.3">
      <c r="A15" s="16">
        <v>10</v>
      </c>
      <c r="B15" s="17" t="s">
        <v>26</v>
      </c>
      <c r="C15" s="17" t="s">
        <v>27</v>
      </c>
      <c r="D15" s="18">
        <f>'CDC Source Data'!D293</f>
        <v>506748</v>
      </c>
      <c r="E15" s="18">
        <f>'CDC Source Data'!E293</f>
        <v>233</v>
      </c>
      <c r="F15" s="19">
        <f t="shared" si="0"/>
        <v>45.979461191756059</v>
      </c>
      <c r="G15" s="20">
        <f>'CDC Source Data'!F293</f>
        <v>0.02</v>
      </c>
    </row>
    <row r="16" spans="1:7" x14ac:dyDescent="0.3">
      <c r="A16" s="16">
        <v>11</v>
      </c>
      <c r="B16" s="17" t="s">
        <v>28</v>
      </c>
      <c r="C16" s="17" t="s">
        <v>29</v>
      </c>
      <c r="D16" s="18">
        <f>'CDC Source Data'!D47</f>
        <v>671747</v>
      </c>
      <c r="E16" s="18">
        <f>'CDC Source Data'!E47</f>
        <v>308</v>
      </c>
      <c r="F16" s="19">
        <f t="shared" si="0"/>
        <v>45.850595536712483</v>
      </c>
      <c r="G16" s="20">
        <f>'CDC Source Data'!F47</f>
        <v>7.0000000000000007E-2</v>
      </c>
    </row>
    <row r="17" spans="1:7" x14ac:dyDescent="0.3">
      <c r="A17" s="16">
        <v>12</v>
      </c>
      <c r="B17" s="17" t="s">
        <v>30</v>
      </c>
      <c r="C17" s="17" t="s">
        <v>27</v>
      </c>
      <c r="D17" s="18">
        <f>'CDC Source Data'!D144</f>
        <v>729505</v>
      </c>
      <c r="E17" s="18">
        <f>'CDC Source Data'!E144</f>
        <v>308</v>
      </c>
      <c r="F17" s="19">
        <f t="shared" si="0"/>
        <v>42.220409729885333</v>
      </c>
      <c r="G17" s="20">
        <f>'CDC Source Data'!F144</f>
        <v>7.0000000000000007E-2</v>
      </c>
    </row>
    <row r="18" spans="1:7" x14ac:dyDescent="0.3">
      <c r="A18" s="16">
        <v>13</v>
      </c>
      <c r="B18" s="17" t="s">
        <v>31</v>
      </c>
      <c r="C18" s="17" t="s">
        <v>32</v>
      </c>
      <c r="D18" s="18">
        <f>'CDC Source Data'!D64</f>
        <v>1384724</v>
      </c>
      <c r="E18" s="18">
        <f>'CDC Source Data'!E64</f>
        <v>582</v>
      </c>
      <c r="F18" s="19">
        <f t="shared" si="0"/>
        <v>42.030036310484974</v>
      </c>
      <c r="G18" s="20">
        <f>'CDC Source Data'!F64</f>
        <v>0.89</v>
      </c>
    </row>
    <row r="19" spans="1:7" x14ac:dyDescent="0.3">
      <c r="A19" s="26">
        <v>14</v>
      </c>
      <c r="B19" s="27" t="s">
        <v>33</v>
      </c>
      <c r="C19" s="27" t="s">
        <v>13</v>
      </c>
      <c r="D19" s="28">
        <f>'CDC Source Data'!D289</f>
        <v>2340211</v>
      </c>
      <c r="E19" s="28">
        <f>'CDC Source Data'!E289</f>
        <v>921</v>
      </c>
      <c r="F19" s="29">
        <f t="shared" si="0"/>
        <v>39.355425643243279</v>
      </c>
      <c r="G19" s="30">
        <f>'CDC Source Data'!F289</f>
        <v>0.05</v>
      </c>
    </row>
    <row r="20" spans="1:7" x14ac:dyDescent="0.3">
      <c r="A20" s="16">
        <v>15</v>
      </c>
      <c r="B20" s="17" t="s">
        <v>34</v>
      </c>
      <c r="C20" s="17" t="s">
        <v>35</v>
      </c>
      <c r="D20" s="18">
        <f>'CDC Source Data'!D345</f>
        <v>981628</v>
      </c>
      <c r="E20" s="18">
        <f>'CDC Source Data'!E345</f>
        <v>385</v>
      </c>
      <c r="F20" s="19">
        <f t="shared" si="0"/>
        <v>39.220560130721616</v>
      </c>
      <c r="G20" s="20">
        <f>'CDC Source Data'!F345</f>
        <v>0</v>
      </c>
    </row>
    <row r="21" spans="1:7" x14ac:dyDescent="0.3">
      <c r="A21" s="16">
        <v>16</v>
      </c>
      <c r="B21" s="17" t="s">
        <v>36</v>
      </c>
      <c r="C21" s="17" t="s">
        <v>36</v>
      </c>
      <c r="D21" s="18">
        <f>'CDC Source Data'!D157</f>
        <v>702250</v>
      </c>
      <c r="E21" s="18">
        <f>'CDC Source Data'!E157</f>
        <v>270</v>
      </c>
      <c r="F21" s="19">
        <f t="shared" si="0"/>
        <v>38.447846208615168</v>
      </c>
      <c r="G21" s="20">
        <f>'CDC Source Data'!F157</f>
        <v>0.21</v>
      </c>
    </row>
    <row r="22" spans="1:7" x14ac:dyDescent="0.3">
      <c r="A22" s="16">
        <v>17</v>
      </c>
      <c r="B22" s="17" t="s">
        <v>37</v>
      </c>
      <c r="C22" s="17" t="s">
        <v>38</v>
      </c>
      <c r="D22" s="18">
        <f>'CDC Source Data'!D368</f>
        <v>924740</v>
      </c>
      <c r="E22" s="18">
        <f>'CDC Source Data'!E368</f>
        <v>340</v>
      </c>
      <c r="F22" s="19">
        <f t="shared" si="0"/>
        <v>36.767091290524903</v>
      </c>
      <c r="G22" s="20">
        <f>'CDC Source Data'!F368</f>
        <v>0.19</v>
      </c>
    </row>
    <row r="23" spans="1:7" x14ac:dyDescent="0.3">
      <c r="A23" s="26">
        <v>18</v>
      </c>
      <c r="B23" s="27" t="s">
        <v>39</v>
      </c>
      <c r="C23" s="27" t="s">
        <v>13</v>
      </c>
      <c r="D23" s="28">
        <f>'CDC Source Data'!D558</f>
        <v>302912</v>
      </c>
      <c r="E23" s="28">
        <f>'CDC Source Data'!E558</f>
        <v>111</v>
      </c>
      <c r="F23" s="29">
        <f t="shared" si="0"/>
        <v>36.644305937037821</v>
      </c>
      <c r="G23" s="30">
        <f>'CDC Source Data'!F558</f>
        <v>0.18</v>
      </c>
    </row>
    <row r="24" spans="1:7" x14ac:dyDescent="0.3">
      <c r="A24" s="16">
        <v>19</v>
      </c>
      <c r="B24" s="17" t="s">
        <v>40</v>
      </c>
      <c r="C24" s="17" t="s">
        <v>41</v>
      </c>
      <c r="D24" s="18">
        <f>'CDC Source Data'!D265</f>
        <v>793881</v>
      </c>
      <c r="E24" s="18">
        <f>'CDC Source Data'!E265</f>
        <v>286</v>
      </c>
      <c r="F24" s="19">
        <f t="shared" si="0"/>
        <v>36.025550428842607</v>
      </c>
      <c r="G24" s="20">
        <f>'CDC Source Data'!F265</f>
        <v>7.0000000000000007E-2</v>
      </c>
    </row>
    <row r="25" spans="1:7" x14ac:dyDescent="0.3">
      <c r="A25" s="16">
        <v>20</v>
      </c>
      <c r="B25" s="17" t="s">
        <v>42</v>
      </c>
      <c r="C25" s="17" t="s">
        <v>43</v>
      </c>
      <c r="D25" s="18">
        <f>'CDC Source Data'!D439</f>
        <v>1080149</v>
      </c>
      <c r="E25" s="18">
        <f>'CDC Source Data'!E439</f>
        <v>389</v>
      </c>
      <c r="F25" s="19">
        <f t="shared" si="0"/>
        <v>36.013549982456119</v>
      </c>
      <c r="G25" s="20">
        <f>'CDC Source Data'!F439</f>
        <v>0.04</v>
      </c>
    </row>
    <row r="26" spans="1:7" x14ac:dyDescent="0.3">
      <c r="A26" s="16">
        <v>21</v>
      </c>
      <c r="B26" s="17" t="s">
        <v>44</v>
      </c>
      <c r="C26" s="17" t="s">
        <v>45</v>
      </c>
      <c r="D26" s="18">
        <f>'CDC Source Data'!D591</f>
        <v>507280</v>
      </c>
      <c r="E26" s="18">
        <f>'CDC Source Data'!E591</f>
        <v>180</v>
      </c>
      <c r="F26" s="19">
        <f t="shared" si="0"/>
        <v>35.483362245702565</v>
      </c>
      <c r="G26" s="20">
        <f>'CDC Source Data'!F591</f>
        <v>0.78</v>
      </c>
    </row>
    <row r="27" spans="1:7" x14ac:dyDescent="0.3">
      <c r="A27" s="16">
        <v>22</v>
      </c>
      <c r="B27" s="17" t="s">
        <v>46</v>
      </c>
      <c r="C27" s="17" t="s">
        <v>47</v>
      </c>
      <c r="D27" s="18">
        <f>'CDC Source Data'!D398</f>
        <v>588093</v>
      </c>
      <c r="E27" s="18">
        <f>'CDC Source Data'!E398</f>
        <v>208</v>
      </c>
      <c r="F27" s="19">
        <f t="shared" si="0"/>
        <v>35.368555653612603</v>
      </c>
      <c r="G27" s="20">
        <f>'CDC Source Data'!F398</f>
        <v>0.04</v>
      </c>
    </row>
    <row r="28" spans="1:7" x14ac:dyDescent="0.3">
      <c r="A28" s="16">
        <v>23</v>
      </c>
      <c r="B28" s="17" t="s">
        <v>48</v>
      </c>
      <c r="C28" s="17" t="s">
        <v>27</v>
      </c>
      <c r="D28" s="18">
        <f>'CDC Source Data'!D511</f>
        <v>910530</v>
      </c>
      <c r="E28" s="18">
        <f>'CDC Source Data'!E511</f>
        <v>322</v>
      </c>
      <c r="F28" s="19">
        <f t="shared" si="0"/>
        <v>35.364018758305605</v>
      </c>
      <c r="G28" s="20">
        <f>'CDC Source Data'!F511</f>
        <v>0.28000000000000003</v>
      </c>
    </row>
    <row r="29" spans="1:7" x14ac:dyDescent="0.3">
      <c r="A29" s="16">
        <v>24</v>
      </c>
      <c r="B29" s="17" t="s">
        <v>49</v>
      </c>
      <c r="C29" s="17" t="s">
        <v>50</v>
      </c>
      <c r="D29" s="18">
        <f>'CDC Source Data'!D180</f>
        <v>331275</v>
      </c>
      <c r="E29" s="18">
        <f>'CDC Source Data'!E180</f>
        <v>114</v>
      </c>
      <c r="F29" s="19">
        <f t="shared" si="0"/>
        <v>34.412497170024906</v>
      </c>
      <c r="G29" s="20">
        <f>'CDC Source Data'!F180</f>
        <v>0.7</v>
      </c>
    </row>
    <row r="30" spans="1:7" x14ac:dyDescent="0.3">
      <c r="A30" s="26">
        <v>25</v>
      </c>
      <c r="B30" s="27" t="s">
        <v>51</v>
      </c>
      <c r="C30" s="27" t="s">
        <v>13</v>
      </c>
      <c r="D30" s="28">
        <f>'CDC Source Data'!D516</f>
        <v>864113</v>
      </c>
      <c r="E30" s="28">
        <f>'CDC Source Data'!E516</f>
        <v>294</v>
      </c>
      <c r="F30" s="29">
        <f t="shared" si="0"/>
        <v>34.023327967522768</v>
      </c>
      <c r="G30" s="30">
        <f>'CDC Source Data'!F516</f>
        <v>0.25</v>
      </c>
    </row>
    <row r="36" spans="1:26" ht="16.8" customHeight="1" x14ac:dyDescent="0.3">
      <c r="A36" s="73" t="s">
        <v>52</v>
      </c>
    </row>
    <row r="37" spans="1:26" x14ac:dyDescent="0.3">
      <c r="A37" s="74" t="s">
        <v>53</v>
      </c>
    </row>
    <row r="39" spans="1:26" x14ac:dyDescent="0.3">
      <c r="A39" s="75" t="s">
        <v>54</v>
      </c>
      <c r="B39" s="76" t="b">
        <v>1</v>
      </c>
      <c r="C39" s="77" t="b">
        <v>1</v>
      </c>
      <c r="D39" s="76" t="b">
        <v>1</v>
      </c>
      <c r="E39" s="76" t="b">
        <v>1</v>
      </c>
      <c r="F39" s="76" t="b">
        <v>1</v>
      </c>
      <c r="G39" s="78" t="b">
        <v>0</v>
      </c>
      <c r="H39" s="78" t="b">
        <v>0</v>
      </c>
      <c r="I39" s="78" t="b">
        <v>0</v>
      </c>
      <c r="J39" s="76" t="b">
        <v>1</v>
      </c>
      <c r="K39" s="78" t="b">
        <v>0</v>
      </c>
      <c r="L39" s="78" t="b">
        <v>0</v>
      </c>
      <c r="M39" s="78" t="b">
        <v>0</v>
      </c>
      <c r="N39" s="78" t="b">
        <v>0</v>
      </c>
      <c r="O39" s="76" t="b">
        <v>1</v>
      </c>
      <c r="P39" s="78" t="b">
        <v>0</v>
      </c>
      <c r="Q39" s="78" t="b">
        <v>0</v>
      </c>
      <c r="R39" s="78" t="b">
        <v>0</v>
      </c>
      <c r="S39" s="76" t="b">
        <v>1</v>
      </c>
      <c r="T39" s="78" t="b">
        <v>0</v>
      </c>
      <c r="U39" s="78" t="b">
        <v>0</v>
      </c>
      <c r="V39" s="78" t="b">
        <v>0</v>
      </c>
      <c r="W39" s="78" t="b">
        <v>0</v>
      </c>
      <c r="X39" s="78" t="b">
        <v>0</v>
      </c>
      <c r="Y39" s="78" t="b">
        <v>0</v>
      </c>
      <c r="Z39" s="76" t="b">
        <v>1</v>
      </c>
    </row>
    <row r="41" spans="1:26" x14ac:dyDescent="0.3">
      <c r="A41" s="5" t="s">
        <v>55</v>
      </c>
      <c r="B41" s="5" t="s">
        <v>56</v>
      </c>
      <c r="C41" s="79" t="s">
        <v>57</v>
      </c>
      <c r="D41" s="5" t="s">
        <v>58</v>
      </c>
      <c r="E41" s="5" t="s">
        <v>59</v>
      </c>
      <c r="F41" s="5" t="s">
        <v>60</v>
      </c>
      <c r="G41" s="5" t="s">
        <v>61</v>
      </c>
      <c r="H41" s="5" t="s">
        <v>62</v>
      </c>
      <c r="I41" s="5" t="s">
        <v>63</v>
      </c>
      <c r="J41" s="80" t="s">
        <v>64</v>
      </c>
      <c r="K41" s="5" t="s">
        <v>65</v>
      </c>
      <c r="L41" s="5" t="s">
        <v>66</v>
      </c>
      <c r="M41" s="5" t="s">
        <v>67</v>
      </c>
      <c r="N41" s="5" t="s">
        <v>68</v>
      </c>
      <c r="O41" s="80" t="s">
        <v>69</v>
      </c>
      <c r="P41" s="5" t="s">
        <v>70</v>
      </c>
      <c r="Q41" s="5" t="s">
        <v>71</v>
      </c>
      <c r="R41" s="5" t="s">
        <v>72</v>
      </c>
      <c r="S41" s="80" t="s">
        <v>73</v>
      </c>
      <c r="T41" s="5" t="s">
        <v>74</v>
      </c>
      <c r="U41" s="5" t="s">
        <v>75</v>
      </c>
      <c r="V41" s="5" t="s">
        <v>76</v>
      </c>
      <c r="W41" s="5" t="s">
        <v>77</v>
      </c>
      <c r="X41" s="5" t="s">
        <v>78</v>
      </c>
      <c r="Y41" s="5" t="s">
        <v>79</v>
      </c>
      <c r="Z41" s="80" t="s">
        <v>80</v>
      </c>
    </row>
    <row r="42" spans="1:26" x14ac:dyDescent="0.3">
      <c r="A42" s="81" t="s">
        <v>81</v>
      </c>
      <c r="B42" s="82">
        <f>IF(B$39,120.19,NA())</f>
        <v>120.19</v>
      </c>
      <c r="C42" s="82">
        <f>IF(C$39,14.93,NA())</f>
        <v>14.93</v>
      </c>
      <c r="D42" s="82">
        <f>IF(D$39,49.06,NA())</f>
        <v>49.06</v>
      </c>
      <c r="E42" s="82">
        <f>IF(E$39,25.37,NA())</f>
        <v>25.37</v>
      </c>
      <c r="F42" s="82" t="e">
        <f>NA()</f>
        <v>#N/A</v>
      </c>
      <c r="G42" s="82" t="e">
        <f>IF(G$39,25,NA())</f>
        <v>#N/A</v>
      </c>
      <c r="H42" s="82" t="e">
        <f>IF(H$39,25.51,NA())</f>
        <v>#N/A</v>
      </c>
      <c r="I42" s="82" t="e">
        <f>IF(I$39,48.25,NA())</f>
        <v>#N/A</v>
      </c>
      <c r="J42" s="82">
        <f>IF(J$39,15.73,NA())</f>
        <v>15.73</v>
      </c>
      <c r="K42" s="82" t="e">
        <f>IF(K$39,44.2,NA())</f>
        <v>#N/A</v>
      </c>
      <c r="L42" s="82" t="e">
        <f>IF(L$39,40.19,NA())</f>
        <v>#N/A</v>
      </c>
      <c r="M42" s="82" t="e">
        <f>IF(M$39,44.82,NA())</f>
        <v>#N/A</v>
      </c>
      <c r="N42" s="82" t="e">
        <f>IF(N$39,29.68,NA())</f>
        <v>#N/A</v>
      </c>
      <c r="O42" s="82">
        <f>IF(O$39,17.43,NA())</f>
        <v>17.43</v>
      </c>
      <c r="P42" s="82" t="e">
        <f>IF(P$39,40.75,NA())</f>
        <v>#N/A</v>
      </c>
      <c r="Q42" s="82" t="e">
        <f>IF(Q$39,46.85,NA())</f>
        <v>#N/A</v>
      </c>
      <c r="R42" s="82" t="e">
        <f>IF(R$39,44.44,NA())</f>
        <v>#N/A</v>
      </c>
      <c r="S42" s="82">
        <f>IF(S$39,12.88,NA())</f>
        <v>12.88</v>
      </c>
      <c r="T42" s="82" t="e">
        <f>IF(T$39,41.32,NA())</f>
        <v>#N/A</v>
      </c>
      <c r="U42" s="82" t="e">
        <f>IF(U$39,28.61,NA())</f>
        <v>#N/A</v>
      </c>
      <c r="V42" s="82" t="e">
        <f>IF(V$39,26.81,NA())</f>
        <v>#N/A</v>
      </c>
      <c r="W42" s="82" t="e">
        <f>IF(W$39,45.57,NA())</f>
        <v>#N/A</v>
      </c>
      <c r="X42" s="82" t="e">
        <f>IF(X$39,30.97,NA())</f>
        <v>#N/A</v>
      </c>
      <c r="Y42" s="82" t="e">
        <f>IF(Y$39,27.77,NA())</f>
        <v>#N/A</v>
      </c>
      <c r="Z42" s="82">
        <f>IF(Z$39,20.71,NA())</f>
        <v>20.71</v>
      </c>
    </row>
    <row r="43" spans="1:26" x14ac:dyDescent="0.3">
      <c r="A43" s="81" t="s">
        <v>82</v>
      </c>
      <c r="B43" s="82">
        <f>IF(B$39,117.9,NA())</f>
        <v>117.9</v>
      </c>
      <c r="C43" s="82">
        <f>IF(C$39,15.29,NA())</f>
        <v>15.29</v>
      </c>
      <c r="D43" s="82">
        <f>IF(D$39,50.27,NA())</f>
        <v>50.27</v>
      </c>
      <c r="E43" s="82">
        <f>IF(E$39,25.51,NA())</f>
        <v>25.51</v>
      </c>
      <c r="F43" s="82">
        <f>IF(F$39,63.47,NA())</f>
        <v>63.47</v>
      </c>
      <c r="G43" s="82" t="e">
        <f>IF(G$39,25.38,NA())</f>
        <v>#N/A</v>
      </c>
      <c r="H43" s="82" t="e">
        <f>IF(H$39,26.06,NA())</f>
        <v>#N/A</v>
      </c>
      <c r="I43" s="82" t="e">
        <f>IF(I$39,50.45,NA())</f>
        <v>#N/A</v>
      </c>
      <c r="J43" s="82">
        <f>IF(J$39,15.19,NA())</f>
        <v>15.19</v>
      </c>
      <c r="K43" s="82" t="e">
        <f>IF(K$39,43.81,NA())</f>
        <v>#N/A</v>
      </c>
      <c r="L43" s="82" t="e">
        <f>IF(L$39,40.19,NA())</f>
        <v>#N/A</v>
      </c>
      <c r="M43" s="82" t="e">
        <f>IF(M$39,44.96,NA())</f>
        <v>#N/A</v>
      </c>
      <c r="N43" s="82" t="e">
        <f>IF(N$39,31.13,NA())</f>
        <v>#N/A</v>
      </c>
      <c r="O43" s="82">
        <f>IF(O$39,17.61,NA())</f>
        <v>17.61</v>
      </c>
      <c r="P43" s="82" t="e">
        <f>IF(P$39,42.48,NA())</f>
        <v>#N/A</v>
      </c>
      <c r="Q43" s="82" t="e">
        <f>IF(Q$39,48.7,NA())</f>
        <v>#N/A</v>
      </c>
      <c r="R43" s="82" t="e">
        <f>IF(R$39,46.5,NA())</f>
        <v>#N/A</v>
      </c>
      <c r="S43" s="82">
        <f>IF(S$39,12.21,NA())</f>
        <v>12.21</v>
      </c>
      <c r="T43" s="82" t="e">
        <f>IF(T$39,42.83,NA())</f>
        <v>#N/A</v>
      </c>
      <c r="U43" s="82" t="e">
        <f>IF(U$39,30.18,NA())</f>
        <v>#N/A</v>
      </c>
      <c r="V43" s="82" t="e">
        <f>IF(V$39,27.8,NA())</f>
        <v>#N/A</v>
      </c>
      <c r="W43" s="82" t="e">
        <f>IF(W$39,45.4,NA())</f>
        <v>#N/A</v>
      </c>
      <c r="X43" s="82" t="e">
        <f>IF(X$39,32.73,NA())</f>
        <v>#N/A</v>
      </c>
      <c r="Y43" s="82" t="e">
        <f>IF(Y$39,28.07,NA())</f>
        <v>#N/A</v>
      </c>
      <c r="Z43" s="82">
        <f>IF(Z$39,20.6,NA())</f>
        <v>20.6</v>
      </c>
    </row>
    <row r="44" spans="1:26" x14ac:dyDescent="0.3">
      <c r="A44" s="81" t="s">
        <v>83</v>
      </c>
      <c r="B44" s="82">
        <f>IF(B$39,117.9,NA())</f>
        <v>117.9</v>
      </c>
      <c r="C44" s="82">
        <f>IF(C$39,15.83,NA())</f>
        <v>15.83</v>
      </c>
      <c r="D44" s="82">
        <f>IF(D$39,52.81,NA())</f>
        <v>52.81</v>
      </c>
      <c r="E44" s="82">
        <f>IF(E$39,25.24,NA())</f>
        <v>25.24</v>
      </c>
      <c r="F44" s="82" t="e">
        <f>NA()</f>
        <v>#N/A</v>
      </c>
      <c r="G44" s="82" t="e">
        <f>IF(G$39,25.76,NA())</f>
        <v>#N/A</v>
      </c>
      <c r="H44" s="82" t="e">
        <f>IF(H$39,27.3,NA())</f>
        <v>#N/A</v>
      </c>
      <c r="I44" s="82" t="e">
        <f>IF(I$39,52.66,NA())</f>
        <v>#N/A</v>
      </c>
      <c r="J44" s="82">
        <f>IF(J$39,16.15,NA())</f>
        <v>16.149999999999999</v>
      </c>
      <c r="K44" s="82" t="e">
        <f>IF(K$39,46.57,NA())</f>
        <v>#N/A</v>
      </c>
      <c r="L44" s="82" t="e">
        <f>IF(L$39,40.49,NA())</f>
        <v>#N/A</v>
      </c>
      <c r="M44" s="82" t="e">
        <f>IF(M$39,48.11,NA())</f>
        <v>#N/A</v>
      </c>
      <c r="N44" s="82" t="e">
        <f>IF(N$39,31.2,NA())</f>
        <v>#N/A</v>
      </c>
      <c r="O44" s="82">
        <f>IF(O$39,18.29,NA())</f>
        <v>18.29</v>
      </c>
      <c r="P44" s="82" t="e">
        <f>IF(P$39,41.56,NA())</f>
        <v>#N/A</v>
      </c>
      <c r="Q44" s="82" t="e">
        <f>IF(Q$39,49.41,NA())</f>
        <v>#N/A</v>
      </c>
      <c r="R44" s="82" t="e">
        <f>IF(R$39,46.5,NA())</f>
        <v>#N/A</v>
      </c>
      <c r="S44" s="82">
        <f>IF(S$39,10.89,NA())</f>
        <v>10.89</v>
      </c>
      <c r="T44" s="82" t="e">
        <f>IF(T$39,44.34,NA())</f>
        <v>#N/A</v>
      </c>
      <c r="U44" s="82" t="e">
        <f>IF(U$39,30.09,NA())</f>
        <v>#N/A</v>
      </c>
      <c r="V44" s="82" t="e">
        <f>IF(V$39,27.4,NA())</f>
        <v>#N/A</v>
      </c>
      <c r="W44" s="82" t="e">
        <f>IF(W$39,47.27,NA())</f>
        <v>#N/A</v>
      </c>
      <c r="X44" s="82" t="e">
        <f>IF(X$39,33.5,NA())</f>
        <v>#N/A</v>
      </c>
      <c r="Y44" s="82" t="e">
        <f>IF(Y$39,31.7,NA())</f>
        <v>#N/A</v>
      </c>
      <c r="Z44" s="82">
        <f>IF(Z$39,20.37,NA())</f>
        <v>20.37</v>
      </c>
    </row>
    <row r="45" spans="1:26" x14ac:dyDescent="0.3">
      <c r="A45" s="81" t="s">
        <v>84</v>
      </c>
      <c r="B45" s="82">
        <f>IF(B$39,117.2,NA())</f>
        <v>117.2</v>
      </c>
      <c r="C45" s="82">
        <f>IF(C$39,16.01,NA())</f>
        <v>16.010000000000002</v>
      </c>
      <c r="D45" s="82">
        <f>IF(D$39,55.22,NA())</f>
        <v>55.22</v>
      </c>
      <c r="E45" s="82">
        <f>IF(E$39,26.83,NA())</f>
        <v>26.83</v>
      </c>
      <c r="F45" s="82" t="e">
        <f>NA()</f>
        <v>#N/A</v>
      </c>
      <c r="G45" s="82" t="e">
        <f>IF(G$39,26.01,NA())</f>
        <v>#N/A</v>
      </c>
      <c r="H45" s="82" t="e">
        <f>IF(H$39,30.18,NA())</f>
        <v>#N/A</v>
      </c>
      <c r="I45" s="82" t="e">
        <f>IF(I$39,55.69,NA())</f>
        <v>#N/A</v>
      </c>
      <c r="J45" s="82">
        <f>IF(J$39,18.17,NA())</f>
        <v>18.170000000000002</v>
      </c>
      <c r="K45" s="82" t="e">
        <f>IF(K$39,46.57,NA())</f>
        <v>#N/A</v>
      </c>
      <c r="L45" s="82" t="e">
        <f>IF(L$39,40.19,NA())</f>
        <v>#N/A</v>
      </c>
      <c r="M45" s="82" t="e">
        <f>IF(M$39,50.58,NA())</f>
        <v>#N/A</v>
      </c>
      <c r="N45" s="82" t="e">
        <f>IF(N$39,31.78,NA())</f>
        <v>#N/A</v>
      </c>
      <c r="O45" s="82">
        <f>IF(O$39,19.31,NA())</f>
        <v>19.309999999999999</v>
      </c>
      <c r="P45" s="82" t="e">
        <f>IF(P$39,44.82,NA())</f>
        <v>#N/A</v>
      </c>
      <c r="Q45" s="82" t="e">
        <f>IF(Q$39,53.83,NA())</f>
        <v>#N/A</v>
      </c>
      <c r="R45" s="82" t="e">
        <f>IF(R$39,47.58,NA())</f>
        <v>#N/A</v>
      </c>
      <c r="S45" s="82">
        <f>IF(S$39,10.89,NA())</f>
        <v>10.89</v>
      </c>
      <c r="T45" s="82" t="e">
        <f>IF(T$39,47.36,NA())</f>
        <v>#N/A</v>
      </c>
      <c r="U45" s="82" t="e">
        <f>IF(U$39,30.37,NA())</f>
        <v>#N/A</v>
      </c>
      <c r="V45" s="82" t="e">
        <f>IF(V$39,28.58,NA())</f>
        <v>#N/A</v>
      </c>
      <c r="W45" s="82" t="e">
        <f>IF(W$39,48.63,NA())</f>
        <v>#N/A</v>
      </c>
      <c r="X45" s="82" t="e">
        <f>IF(X$39,34.92,NA())</f>
        <v>#N/A</v>
      </c>
      <c r="Y45" s="82" t="e">
        <f>IF(Y$39,32,NA())</f>
        <v>#N/A</v>
      </c>
      <c r="Z45" s="82">
        <f>IF(Z$39,21.06,NA())</f>
        <v>21.06</v>
      </c>
    </row>
    <row r="46" spans="1:26" x14ac:dyDescent="0.3">
      <c r="A46" s="81" t="s">
        <v>85</v>
      </c>
      <c r="B46" s="82">
        <f>IF(B$39,121.24,NA())</f>
        <v>121.24</v>
      </c>
      <c r="C46" s="82">
        <f>IF(C$39,15.29,NA())</f>
        <v>15.29</v>
      </c>
      <c r="D46" s="82">
        <f>IF(D$39,60.18,NA())</f>
        <v>60.18</v>
      </c>
      <c r="E46" s="82">
        <f>IF(E$39,29.09,NA())</f>
        <v>29.09</v>
      </c>
      <c r="F46" s="82" t="e">
        <f>NA()</f>
        <v>#N/A</v>
      </c>
      <c r="G46" s="82" t="e">
        <f>IF(G$39,27.26,NA())</f>
        <v>#N/A</v>
      </c>
      <c r="H46" s="82" t="e">
        <f>IF(H$39,32.1,NA())</f>
        <v>#N/A</v>
      </c>
      <c r="I46" s="82" t="e">
        <f>IF(I$39,61.21,NA())</f>
        <v>#N/A</v>
      </c>
      <c r="J46" s="82">
        <f>IF(J$39,19.87,NA())</f>
        <v>19.87</v>
      </c>
      <c r="K46" s="82" t="e">
        <f>IF(K$39,50.12,NA())</f>
        <v>#N/A</v>
      </c>
      <c r="L46" s="82" t="e">
        <f>IF(L$39,40.64,NA())</f>
        <v>#N/A</v>
      </c>
      <c r="M46" s="82" t="e">
        <f>IF(M$39,52.64,NA())</f>
        <v>#N/A</v>
      </c>
      <c r="N46" s="82" t="e">
        <f>IF(N$39,32.86,NA())</f>
        <v>#N/A</v>
      </c>
      <c r="O46" s="82">
        <f>IF(O$39,20.21,NA())</f>
        <v>20.21</v>
      </c>
      <c r="P46" s="82" t="e">
        <f>IF(P$39,49.1,NA())</f>
        <v>#N/A</v>
      </c>
      <c r="Q46" s="82" t="e">
        <f>IF(Q$39,57.24,NA())</f>
        <v>#N/A</v>
      </c>
      <c r="R46" s="82" t="e">
        <f>IF(R$39,50.72,NA())</f>
        <v>#N/A</v>
      </c>
      <c r="S46" s="82">
        <f>IF(S$39,11.55,NA())</f>
        <v>11.55</v>
      </c>
      <c r="T46" s="82" t="e">
        <f>IF(T$39,52.4,NA())</f>
        <v>#N/A</v>
      </c>
      <c r="U46" s="82" t="e">
        <f>IF(U$39,30.74,NA())</f>
        <v>#N/A</v>
      </c>
      <c r="V46" s="82" t="e">
        <f>IF(V$39,30.56,NA())</f>
        <v>#N/A</v>
      </c>
      <c r="W46" s="82" t="e">
        <f>IF(W$39,48.12,NA())</f>
        <v>#N/A</v>
      </c>
      <c r="X46" s="82" t="e">
        <f>IF(X$39,38.88,NA())</f>
        <v>#N/A</v>
      </c>
      <c r="Y46" s="82" t="e">
        <f>IF(Y$39,35.02,NA())</f>
        <v>#N/A</v>
      </c>
      <c r="Z46" s="82">
        <f>IF(Z$39,22.45,NA())</f>
        <v>22.45</v>
      </c>
    </row>
    <row r="47" spans="1:26" x14ac:dyDescent="0.3">
      <c r="A47" s="81" t="s">
        <v>86</v>
      </c>
      <c r="B47" s="82">
        <f>IF(B$39,124.06,NA())</f>
        <v>124.06</v>
      </c>
      <c r="C47" s="82">
        <f>IF(C$39,16.37,NA())</f>
        <v>16.37</v>
      </c>
      <c r="D47" s="82">
        <f>IF(D$39,62.72,NA())</f>
        <v>62.72</v>
      </c>
      <c r="E47" s="82">
        <f>IF(E$39,28.96,NA())</f>
        <v>28.96</v>
      </c>
      <c r="F47" s="82" t="e">
        <f>NA()</f>
        <v>#N/A</v>
      </c>
      <c r="G47" s="82" t="e">
        <f>IF(G$39,27.52,NA())</f>
        <v>#N/A</v>
      </c>
      <c r="H47" s="82" t="e">
        <f>IF(H$39,33.74,NA())</f>
        <v>#N/A</v>
      </c>
      <c r="I47" s="82" t="e">
        <f>IF(I$39,62.86,NA())</f>
        <v>#N/A</v>
      </c>
      <c r="J47" s="82">
        <f>IF(J$39,20.08,NA())</f>
        <v>20.079999999999998</v>
      </c>
      <c r="K47" s="82" t="e">
        <f>IF(K$39,51.7,NA())</f>
        <v>#N/A</v>
      </c>
      <c r="L47" s="82" t="e">
        <f>IF(L$39,42.28,NA())</f>
        <v>#N/A</v>
      </c>
      <c r="M47" s="82" t="e">
        <f>IF(M$39,54.69,NA())</f>
        <v>#N/A</v>
      </c>
      <c r="N47" s="82" t="e">
        <f>IF(N$39,33,NA())</f>
        <v>#N/A</v>
      </c>
      <c r="O47" s="82">
        <f>IF(O$39,20.77,NA())</f>
        <v>20.77</v>
      </c>
      <c r="P47" s="82" t="e">
        <f>IF(P$39,51.45,NA())</f>
        <v>#N/A</v>
      </c>
      <c r="Q47" s="82" t="e">
        <f>IF(Q$39,58.1,NA())</f>
        <v>#N/A</v>
      </c>
      <c r="R47" s="82" t="e">
        <f>IF(R$39,53.31,NA())</f>
        <v>#N/A</v>
      </c>
      <c r="S47" s="82">
        <f>IF(S$39,13.54,NA())</f>
        <v>13.54</v>
      </c>
      <c r="T47" s="82" t="e">
        <f>IF(T$39,53.41,NA())</f>
        <v>#N/A</v>
      </c>
      <c r="U47" s="82" t="e">
        <f>IF(U$39,32.59,NA())</f>
        <v>#N/A</v>
      </c>
      <c r="V47" s="82" t="e">
        <f>IF(V$39,30.36,NA())</f>
        <v>#N/A</v>
      </c>
      <c r="W47" s="82" t="e">
        <f>IF(W$39,48.8,NA())</f>
        <v>#N/A</v>
      </c>
      <c r="X47" s="82" t="e">
        <f>IF(X$39,41.18,NA())</f>
        <v>#N/A</v>
      </c>
      <c r="Y47" s="82" t="e">
        <f>IF(Y$39,36.83,NA())</f>
        <v>#N/A</v>
      </c>
      <c r="Z47" s="82">
        <f>IF(Z$39,22.8,NA())</f>
        <v>22.8</v>
      </c>
    </row>
    <row r="48" spans="1:26" x14ac:dyDescent="0.3">
      <c r="A48" s="81" t="s">
        <v>87</v>
      </c>
      <c r="B48" s="82">
        <f>IF(B$39,126.7,NA())</f>
        <v>126.7</v>
      </c>
      <c r="C48" s="82">
        <f>IF(C$39,16.55,NA())</f>
        <v>16.55</v>
      </c>
      <c r="D48" s="82">
        <f>IF(D$39,66.7,NA())</f>
        <v>66.7</v>
      </c>
      <c r="E48" s="82">
        <f>IF(E$39,31.09,NA())</f>
        <v>31.09</v>
      </c>
      <c r="F48" s="82" t="e">
        <f>NA()</f>
        <v>#N/A</v>
      </c>
      <c r="G48" s="82" t="e">
        <f>IF(G$39,28.52,NA())</f>
        <v>#N/A</v>
      </c>
      <c r="H48" s="82" t="e">
        <f>IF(H$39,36.76,NA())</f>
        <v>#N/A</v>
      </c>
      <c r="I48" s="82" t="e">
        <f>IF(I$39,67,NA())</f>
        <v>#N/A</v>
      </c>
      <c r="J48" s="82">
        <f>IF(J$39,21.78,NA())</f>
        <v>21.78</v>
      </c>
      <c r="K48" s="82" t="e">
        <f>IF(K$39,53.87,NA())</f>
        <v>#N/A</v>
      </c>
      <c r="L48" s="82" t="e">
        <f>IF(L$39,43.47,NA())</f>
        <v>#N/A</v>
      </c>
      <c r="M48" s="82" t="e">
        <f>IF(M$39,55.65,NA())</f>
        <v>#N/A</v>
      </c>
      <c r="N48" s="82" t="e">
        <f>IF(N$39,35.39,NA())</f>
        <v>#N/A</v>
      </c>
      <c r="O48" s="82">
        <f>IF(O$39,21.28,NA())</f>
        <v>21.28</v>
      </c>
      <c r="P48" s="82" t="e">
        <f>IF(P$39,52.16,NA())</f>
        <v>#N/A</v>
      </c>
      <c r="Q48" s="82" t="e">
        <f>IF(Q$39,59.24,NA())</f>
        <v>#N/A</v>
      </c>
      <c r="R48" s="82" t="e">
        <f>IF(R$39,54.61,NA())</f>
        <v>#N/A</v>
      </c>
      <c r="S48" s="82">
        <f>IF(S$39,14.2,NA())</f>
        <v>14.2</v>
      </c>
      <c r="T48" s="82" t="e">
        <f>IF(T$39,55.42,NA())</f>
        <v>#N/A</v>
      </c>
      <c r="U48" s="82" t="e">
        <f>IF(U$39,34.81,NA())</f>
        <v>#N/A</v>
      </c>
      <c r="V48" s="82" t="e">
        <f>IF(V$39,28.39,NA())</f>
        <v>#N/A</v>
      </c>
      <c r="W48" s="82" t="e">
        <f>IF(W$39,48.8,NA())</f>
        <v>#N/A</v>
      </c>
      <c r="X48" s="82" t="e">
        <f>IF(X$39,42.06,NA())</f>
        <v>#N/A</v>
      </c>
      <c r="Y48" s="82" t="e">
        <f>IF(Y$39,38.34,NA())</f>
        <v>#N/A</v>
      </c>
      <c r="Z48" s="82">
        <f>IF(Z$39,23.61,NA())</f>
        <v>23.61</v>
      </c>
    </row>
    <row r="49" spans="1:26" x14ac:dyDescent="0.3">
      <c r="A49" s="81" t="s">
        <v>88</v>
      </c>
      <c r="B49" s="82">
        <f>IF(B$39,131.45,NA())</f>
        <v>131.44999999999999</v>
      </c>
      <c r="C49" s="82">
        <f>IF(C$39,16.91,NA())</f>
        <v>16.91</v>
      </c>
      <c r="D49" s="82">
        <f>IF(D$39,68.4,NA())</f>
        <v>68.400000000000006</v>
      </c>
      <c r="E49" s="82">
        <f>IF(E$39,32.68,NA())</f>
        <v>32.68</v>
      </c>
      <c r="F49" s="82" t="e">
        <f>NA()</f>
        <v>#N/A</v>
      </c>
      <c r="G49" s="82" t="e">
        <f>IF(G$39,29.53,NA())</f>
        <v>#N/A</v>
      </c>
      <c r="H49" s="82" t="e">
        <f>IF(H$39,38.13,NA())</f>
        <v>#N/A</v>
      </c>
      <c r="I49" s="82" t="e">
        <f>IF(I$39,68.1,NA())</f>
        <v>#N/A</v>
      </c>
      <c r="J49" s="82">
        <f>IF(J$39,21.99,NA())</f>
        <v>21.99</v>
      </c>
      <c r="K49" s="82" t="e">
        <f>IF(K$39,57.23,NA())</f>
        <v>#N/A</v>
      </c>
      <c r="L49" s="82" t="e">
        <f>IF(L$39,46.45,NA())</f>
        <v>#N/A</v>
      </c>
      <c r="M49" s="82" t="e">
        <f>IF(M$39,56.07,NA())</f>
        <v>#N/A</v>
      </c>
      <c r="N49" s="82" t="e">
        <f>IF(N$39,36.25,NA())</f>
        <v>#N/A</v>
      </c>
      <c r="O49" s="82">
        <f>IF(O$39,21.15,NA())</f>
        <v>21.15</v>
      </c>
      <c r="P49" s="82" t="e">
        <f>IF(P$39,53.18,NA())</f>
        <v>#N/A</v>
      </c>
      <c r="Q49" s="82" t="e">
        <f>IF(Q$39,60.95,NA())</f>
        <v>#N/A</v>
      </c>
      <c r="R49" s="82" t="e">
        <f>IF(R$39,54.83,NA())</f>
        <v>#N/A</v>
      </c>
      <c r="S49" s="82">
        <f>IF(S$39,12.88,NA())</f>
        <v>12.88</v>
      </c>
      <c r="T49" s="82" t="e">
        <f>IF(T$39,58.7,NA())</f>
        <v>#N/A</v>
      </c>
      <c r="U49" s="82" t="e">
        <f>IF(U$39,36.2,NA())</f>
        <v>#N/A</v>
      </c>
      <c r="V49" s="82" t="e">
        <f>IF(V$39,29.37,NA())</f>
        <v>#N/A</v>
      </c>
      <c r="W49" s="82" t="e">
        <f>IF(W$39,48.8,NA())</f>
        <v>#N/A</v>
      </c>
      <c r="X49" s="82" t="e">
        <f>IF(X$39,43.27,NA())</f>
        <v>#N/A</v>
      </c>
      <c r="Y49" s="82" t="e">
        <f>IF(Y$39,38.34,NA())</f>
        <v>#N/A</v>
      </c>
      <c r="Z49" s="82">
        <f>IF(Z$39,25.58,NA())</f>
        <v>25.58</v>
      </c>
    </row>
    <row r="50" spans="1:26" x14ac:dyDescent="0.3">
      <c r="A50" s="81" t="s">
        <v>89</v>
      </c>
      <c r="B50" s="82">
        <f>IF(B$39,137.08,NA())</f>
        <v>137.08000000000001</v>
      </c>
      <c r="C50" s="82">
        <f>IF(C$39,16.55,NA())</f>
        <v>16.55</v>
      </c>
      <c r="D50" s="82">
        <f>IF(D$39,68.28,NA())</f>
        <v>68.28</v>
      </c>
      <c r="E50" s="82">
        <f>IF(E$39,34.14,NA())</f>
        <v>34.14</v>
      </c>
      <c r="F50" s="82" t="e">
        <f>NA()</f>
        <v>#N/A</v>
      </c>
      <c r="G50" s="82" t="e">
        <f>IF(G$39,29.78,NA())</f>
        <v>#N/A</v>
      </c>
      <c r="H50" s="82" t="e">
        <f>IF(H$39,38.54,NA())</f>
        <v>#N/A</v>
      </c>
      <c r="I50" s="82" t="e">
        <f>IF(I$39,70.58,NA())</f>
        <v>#N/A</v>
      </c>
      <c r="J50" s="82">
        <f>IF(J$39,23.27,NA())</f>
        <v>23.27</v>
      </c>
      <c r="K50" s="82" t="e">
        <f>IF(K$39,59.79,NA())</f>
        <v>#N/A</v>
      </c>
      <c r="L50" s="82" t="e">
        <f>IF(L$39,47.93,NA())</f>
        <v>#N/A</v>
      </c>
      <c r="M50" s="82" t="e">
        <f>IF(M$39,57.57,NA())</f>
        <v>#N/A</v>
      </c>
      <c r="N50" s="82" t="e">
        <f>IF(N$39,37.84,NA())</f>
        <v>#N/A</v>
      </c>
      <c r="O50" s="82">
        <f>IF(O$39,20.77,NA())</f>
        <v>20.77</v>
      </c>
      <c r="P50" s="82" t="e">
        <f>IF(P$39,55.32,NA())</f>
        <v>#N/A</v>
      </c>
      <c r="Q50" s="82" t="e">
        <f>IF(Q$39,60.8,NA())</f>
        <v>#N/A</v>
      </c>
      <c r="R50" s="82" t="e">
        <f>IF(R$39,55.26,NA())</f>
        <v>#N/A</v>
      </c>
      <c r="S50" s="82">
        <f>IF(S$39,13.54,NA())</f>
        <v>13.54</v>
      </c>
      <c r="T50" s="82" t="e">
        <f>IF(T$39,60.46,NA())</f>
        <v>#N/A</v>
      </c>
      <c r="U50" s="82" t="e">
        <f>IF(U$39,37.68,NA())</f>
        <v>#N/A</v>
      </c>
      <c r="V50" s="82" t="e">
        <f>IF(V$39,28.78,NA())</f>
        <v>#N/A</v>
      </c>
      <c r="W50" s="82" t="e">
        <f>IF(W$39,48.12,NA())</f>
        <v>#N/A</v>
      </c>
      <c r="X50" s="82" t="e">
        <f>IF(X$39,44.26,NA())</f>
        <v>#N/A</v>
      </c>
      <c r="Y50" s="82" t="e">
        <f>IF(Y$39,40.45,NA())</f>
        <v>#N/A</v>
      </c>
      <c r="Z50" s="82">
        <f>IF(Z$39,25.58,NA())</f>
        <v>25.58</v>
      </c>
    </row>
    <row r="51" spans="1:26" x14ac:dyDescent="0.3">
      <c r="A51" s="81" t="s">
        <v>90</v>
      </c>
      <c r="B51" s="82">
        <f>IF(B$39,142.89,NA())</f>
        <v>142.88999999999999</v>
      </c>
      <c r="C51" s="82">
        <f>IF(C$39,17.09,NA())</f>
        <v>17.09</v>
      </c>
      <c r="D51" s="82">
        <f>IF(D$39,69.61,NA())</f>
        <v>69.61</v>
      </c>
      <c r="E51" s="82">
        <f>IF(E$39,33.87,NA())</f>
        <v>33.869999999999997</v>
      </c>
      <c r="F51" s="82" t="e">
        <f>NA()</f>
        <v>#N/A</v>
      </c>
      <c r="G51" s="82" t="e">
        <f>IF(G$39,30.78,NA())</f>
        <v>#N/A</v>
      </c>
      <c r="H51" s="82" t="e">
        <f>IF(H$39,40.05,NA())</f>
        <v>#N/A</v>
      </c>
      <c r="I51" s="82" t="e">
        <f>IF(I$39,70.86,NA())</f>
        <v>#N/A</v>
      </c>
      <c r="J51" s="82">
        <f>IF(J$39,24.12,NA())</f>
        <v>24.12</v>
      </c>
      <c r="K51" s="82" t="e">
        <f>IF(K$39,64.13,NA())</f>
        <v>#N/A</v>
      </c>
      <c r="L51" s="82" t="e">
        <f>IF(L$39,49.42,NA())</f>
        <v>#N/A</v>
      </c>
      <c r="M51" s="82" t="e">
        <f>IF(M$39,58.4,NA())</f>
        <v>#N/A</v>
      </c>
      <c r="N51" s="82" t="e">
        <f>IF(N$39,39,NA())</f>
        <v>#N/A</v>
      </c>
      <c r="O51" s="82">
        <f>IF(O$39,20.72,NA())</f>
        <v>20.72</v>
      </c>
      <c r="P51" s="82" t="e">
        <f>IF(P$39,56.33,NA())</f>
        <v>#N/A</v>
      </c>
      <c r="Q51" s="82" t="e">
        <f>IF(Q$39,61.66,NA())</f>
        <v>#N/A</v>
      </c>
      <c r="R51" s="82" t="e">
        <f>IF(R$39,54.5,NA())</f>
        <v>#N/A</v>
      </c>
      <c r="S51" s="82">
        <f>IF(S$39,15.52,NA())</f>
        <v>15.52</v>
      </c>
      <c r="T51" s="82" t="e">
        <f>IF(T$39,62.48,NA())</f>
        <v>#N/A</v>
      </c>
      <c r="U51" s="82" t="e">
        <f>IF(U$39,37.31,NA())</f>
        <v>#N/A</v>
      </c>
      <c r="V51" s="82" t="e">
        <f>IF(V$39,30.36,NA())</f>
        <v>#N/A</v>
      </c>
      <c r="W51" s="82" t="e">
        <f>IF(W$39,47.44,NA())</f>
        <v>#N/A</v>
      </c>
      <c r="X51" s="82" t="e">
        <f>IF(X$39,46.9,NA())</f>
        <v>#N/A</v>
      </c>
      <c r="Y51" s="82" t="e">
        <f>IF(Y$39,39.85,NA())</f>
        <v>#N/A</v>
      </c>
      <c r="Z51" s="82">
        <f>IF(Z$39,26.15,NA())</f>
        <v>26.15</v>
      </c>
    </row>
    <row r="52" spans="1:26" x14ac:dyDescent="0.3">
      <c r="A52" s="81" t="s">
        <v>91</v>
      </c>
      <c r="B52" s="82">
        <f>IF(B$39,143.42,NA())</f>
        <v>143.41999999999999</v>
      </c>
      <c r="C52" s="82">
        <f>IF(C$39,17.81,NA())</f>
        <v>17.809999999999999</v>
      </c>
      <c r="D52" s="82">
        <f>IF(D$39,68.15,NA())</f>
        <v>68.150000000000006</v>
      </c>
      <c r="E52" s="82">
        <f>IF(E$39,34.27,NA())</f>
        <v>34.270000000000003</v>
      </c>
      <c r="F52" s="82" t="e">
        <f>NA()</f>
        <v>#N/A</v>
      </c>
      <c r="G52" s="82" t="e">
        <f>IF(G$39,31.79,NA())</f>
        <v>#N/A</v>
      </c>
      <c r="H52" s="82" t="e">
        <f>IF(H$39,40.33,NA())</f>
        <v>#N/A</v>
      </c>
      <c r="I52" s="82" t="e">
        <f>IF(I$39,72.79,NA())</f>
        <v>#N/A</v>
      </c>
      <c r="J52" s="82">
        <f>IF(J$39,25.5,NA())</f>
        <v>25.5</v>
      </c>
      <c r="K52" s="82" t="e">
        <f>IF(K$39,62.56,NA())</f>
        <v>#N/A</v>
      </c>
      <c r="L52" s="82" t="e">
        <f>IF(L$39,51.51,NA())</f>
        <v>#N/A</v>
      </c>
      <c r="M52" s="82" t="e">
        <f>IF(M$39,61,NA())</f>
        <v>#N/A</v>
      </c>
      <c r="N52" s="82" t="e">
        <f>IF(N$39,39.79,NA())</f>
        <v>#N/A</v>
      </c>
      <c r="O52" s="82">
        <f>IF(O$39,21.11,NA())</f>
        <v>21.11</v>
      </c>
      <c r="P52" s="82" t="e">
        <f>IF(P$39,58.17,NA())</f>
        <v>#N/A</v>
      </c>
      <c r="Q52" s="82" t="e">
        <f>IF(Q$39,61.8,NA())</f>
        <v>#N/A</v>
      </c>
      <c r="R52" s="82" t="e">
        <f>IF(R$39,53.96,NA())</f>
        <v>#N/A</v>
      </c>
      <c r="S52" s="82">
        <f>IF(S$39,15.52,NA())</f>
        <v>15.52</v>
      </c>
      <c r="T52" s="82" t="e">
        <f>IF(T$39,65.38,NA())</f>
        <v>#N/A</v>
      </c>
      <c r="U52" s="82" t="e">
        <f>IF(U$39,38.14,NA())</f>
        <v>#N/A</v>
      </c>
      <c r="V52" s="82" t="e">
        <f>IF(V$39,30.16,NA())</f>
        <v>#N/A</v>
      </c>
      <c r="W52" s="82" t="e">
        <f>IF(W$39,46.08,NA())</f>
        <v>#N/A</v>
      </c>
      <c r="X52" s="82" t="e">
        <f>IF(X$39,47.99,NA())</f>
        <v>#N/A</v>
      </c>
      <c r="Y52" s="82" t="e">
        <f>IF(Y$39,42.86,NA())</f>
        <v>#N/A</v>
      </c>
      <c r="Z52" s="82">
        <f>IF(Z$39,26.15,NA())</f>
        <v>26.15</v>
      </c>
    </row>
    <row r="53" spans="1:26" x14ac:dyDescent="0.3">
      <c r="A53" s="81" t="s">
        <v>92</v>
      </c>
      <c r="B53" s="82">
        <f>IF(B$39,146.41,NA())</f>
        <v>146.41</v>
      </c>
      <c r="C53" s="82">
        <f>IF(C$39,18.53,NA())</f>
        <v>18.53</v>
      </c>
      <c r="D53" s="82">
        <f>IF(D$39,66.1,NA())</f>
        <v>66.099999999999994</v>
      </c>
      <c r="E53" s="82">
        <f>IF(E$39,35.47,NA())</f>
        <v>35.47</v>
      </c>
      <c r="F53" s="82" t="e">
        <f>NA()</f>
        <v>#N/A</v>
      </c>
      <c r="G53" s="82" t="e">
        <f>IF(G$39,31.41,NA())</f>
        <v>#N/A</v>
      </c>
      <c r="H53" s="82" t="e">
        <f>IF(H$39,41.43,NA())</f>
        <v>#N/A</v>
      </c>
      <c r="I53" s="82" t="e">
        <f>IF(I$39,78.03,NA())</f>
        <v>#N/A</v>
      </c>
      <c r="J53" s="82">
        <f>IF(J$39,26.35,NA())</f>
        <v>26.35</v>
      </c>
      <c r="K53" s="82" t="e">
        <f>IF(K$39,67.49,NA())</f>
        <v>#N/A</v>
      </c>
      <c r="L53" s="82" t="e">
        <f>IF(L$39,53.59,NA())</f>
        <v>#N/A</v>
      </c>
      <c r="M53" s="82" t="e">
        <f>IF(M$39,60.18,NA())</f>
        <v>#N/A</v>
      </c>
      <c r="N53" s="82" t="e">
        <f>IF(N$39,40.3,NA())</f>
        <v>#N/A</v>
      </c>
      <c r="O53" s="82">
        <f>IF(O$39,21.15,NA())</f>
        <v>21.15</v>
      </c>
      <c r="P53" s="82" t="e">
        <f>IF(P$39,60.82,NA())</f>
        <v>#N/A</v>
      </c>
      <c r="Q53" s="82" t="e">
        <f>IF(Q$39,60.38,NA())</f>
        <v>#N/A</v>
      </c>
      <c r="R53" s="82" t="e">
        <f>IF(R$39,54.83,NA())</f>
        <v>#N/A</v>
      </c>
      <c r="S53" s="82">
        <f>IF(S$39,16.51,NA())</f>
        <v>16.510000000000002</v>
      </c>
      <c r="T53" s="82" t="e">
        <f>IF(T$39,66.63,NA())</f>
        <v>#N/A</v>
      </c>
      <c r="U53" s="82" t="e">
        <f>IF(U$39,38.24,NA())</f>
        <v>#N/A</v>
      </c>
      <c r="V53" s="82" t="e">
        <f>IF(V$39,30.95,NA())</f>
        <v>#N/A</v>
      </c>
      <c r="W53" s="82" t="e">
        <f>IF(W$39,43.87,NA())</f>
        <v>#N/A</v>
      </c>
      <c r="X53" s="82" t="e">
        <f>IF(X$39,49.75,NA())</f>
        <v>#N/A</v>
      </c>
      <c r="Y53" s="82" t="e">
        <f>IF(Y$39,43.47,NA())</f>
        <v>#N/A</v>
      </c>
      <c r="Z53" s="82">
        <f>IF(Z$39,26.85,NA())</f>
        <v>26.85</v>
      </c>
    </row>
    <row r="54" spans="1:26" x14ac:dyDescent="0.3">
      <c r="A54" s="81" t="s">
        <v>93</v>
      </c>
      <c r="B54" s="82">
        <f>IF(B$39,150.46,NA())</f>
        <v>150.46</v>
      </c>
      <c r="C54" s="82">
        <f>IF(C$39,17.63,NA())</f>
        <v>17.63</v>
      </c>
      <c r="D54" s="82">
        <f>IF(D$39,69,NA())</f>
        <v>69</v>
      </c>
      <c r="E54" s="82">
        <f>IF(E$39,37.2,NA())</f>
        <v>37.200000000000003</v>
      </c>
      <c r="F54" s="82" t="e">
        <f>NA()</f>
        <v>#N/A</v>
      </c>
      <c r="G54" s="82" t="e">
        <f>IF(G$39,31.41,NA())</f>
        <v>#N/A</v>
      </c>
      <c r="H54" s="82" t="e">
        <f>IF(H$39,43.35,NA())</f>
        <v>#N/A</v>
      </c>
      <c r="I54" s="82" t="e">
        <f>IF(I$39,81.33,NA())</f>
        <v>#N/A</v>
      </c>
      <c r="J54" s="82">
        <f>IF(J$39,27.09,NA())</f>
        <v>27.09</v>
      </c>
      <c r="K54" s="82" t="e">
        <f>IF(K$39,72.23,NA())</f>
        <v>#N/A</v>
      </c>
      <c r="L54" s="82" t="e">
        <f>IF(L$39,54.78,NA())</f>
        <v>#N/A</v>
      </c>
      <c r="M54" s="82" t="e">
        <f>IF(M$39,63.06,NA())</f>
        <v>#N/A</v>
      </c>
      <c r="N54" s="82" t="e">
        <f>IF(N$39,43.55,NA())</f>
        <v>#N/A</v>
      </c>
      <c r="O54" s="82">
        <f>IF(O$39,22.09,NA())</f>
        <v>22.09</v>
      </c>
      <c r="P54" s="82" t="e">
        <f>IF(P$39,62.55,NA())</f>
        <v>#N/A</v>
      </c>
      <c r="Q54" s="82" t="e">
        <f>IF(Q$39,60.66,NA())</f>
        <v>#N/A</v>
      </c>
      <c r="R54" s="82" t="e">
        <f>IF(R$39,55.26,NA())</f>
        <v>#N/A</v>
      </c>
      <c r="S54" s="82">
        <f>IF(S$39,17.17,NA())</f>
        <v>17.170000000000002</v>
      </c>
      <c r="T54" s="82" t="e">
        <f>IF(T$39,69.28,NA())</f>
        <v>#N/A</v>
      </c>
      <c r="U54" s="82" t="e">
        <f>IF(U$39,39.07,NA())</f>
        <v>#N/A</v>
      </c>
      <c r="V54" s="82" t="e">
        <f>IF(V$39,30.75,NA())</f>
        <v>#N/A</v>
      </c>
      <c r="W54" s="82" t="e">
        <f>IF(W$39,44.89,NA())</f>
        <v>#N/A</v>
      </c>
      <c r="X54" s="82" t="e">
        <f>IF(X$39,51.73,NA())</f>
        <v>#N/A</v>
      </c>
      <c r="Y54" s="82" t="e">
        <f>IF(Y$39,44.37,NA())</f>
        <v>#N/A</v>
      </c>
      <c r="Z54" s="82">
        <f>IF(Z$39,27.54,NA())</f>
        <v>27.54</v>
      </c>
    </row>
    <row r="55" spans="1:26" x14ac:dyDescent="0.3">
      <c r="A55" s="81" t="s">
        <v>94</v>
      </c>
      <c r="B55" s="82">
        <f>IF(B$39,153.8,NA())</f>
        <v>153.80000000000001</v>
      </c>
      <c r="C55" s="82">
        <f>IF(C$39,17.45,NA())</f>
        <v>17.45</v>
      </c>
      <c r="D55" s="82">
        <f>IF(D$39,70.81,NA())</f>
        <v>70.81</v>
      </c>
      <c r="E55" s="82">
        <f>IF(E$39,38.13,NA())</f>
        <v>38.130000000000003</v>
      </c>
      <c r="F55" s="82" t="e">
        <f>NA()</f>
        <v>#N/A</v>
      </c>
      <c r="G55" s="82" t="e">
        <f>IF(G$39,31.79,NA())</f>
        <v>#N/A</v>
      </c>
      <c r="H55" s="82" t="e">
        <f>IF(H$39,43.48,NA())</f>
        <v>#N/A</v>
      </c>
      <c r="I55" s="82" t="e">
        <f>IF(I$39,83.54,NA())</f>
        <v>#N/A</v>
      </c>
      <c r="J55" s="82">
        <f>IF(J$39,28.05,NA())</f>
        <v>28.05</v>
      </c>
      <c r="K55" s="82" t="e">
        <f>IF(K$39,77.16,NA())</f>
        <v>#N/A</v>
      </c>
      <c r="L55" s="82" t="e">
        <f>IF(L$39,55.68,NA())</f>
        <v>#N/A</v>
      </c>
      <c r="M55" s="82" t="e">
        <f>IF(M$39,63.19,NA())</f>
        <v>#N/A</v>
      </c>
      <c r="N55" s="82" t="e">
        <f>IF(N$39,44.2,NA())</f>
        <v>#N/A</v>
      </c>
      <c r="O55" s="82">
        <f>IF(O$39,22.13,NA())</f>
        <v>22.13</v>
      </c>
      <c r="P55" s="82" t="e">
        <f>IF(P$39,62.65,NA())</f>
        <v>#N/A</v>
      </c>
      <c r="Q55" s="82" t="e">
        <f>IF(Q$39,59.95,NA())</f>
        <v>#N/A</v>
      </c>
      <c r="R55" s="82" t="e">
        <f>IF(R$39,54.18,NA())</f>
        <v>#N/A</v>
      </c>
      <c r="S55" s="82">
        <f>IF(S$39,18.16,NA())</f>
        <v>18.16</v>
      </c>
      <c r="T55" s="82" t="e">
        <f>IF(T$39,69.66,NA())</f>
        <v>#N/A</v>
      </c>
      <c r="U55" s="82" t="e">
        <f>IF(U$39,39.35,NA())</f>
        <v>#N/A</v>
      </c>
      <c r="V55" s="82" t="e">
        <f>IF(V$39,31.15,NA())</f>
        <v>#N/A</v>
      </c>
      <c r="W55" s="82" t="e">
        <f>IF(W$39,45.91,NA())</f>
        <v>#N/A</v>
      </c>
      <c r="X55" s="82" t="e">
        <f>IF(X$39,53.49,NA())</f>
        <v>#N/A</v>
      </c>
      <c r="Y55" s="82" t="e">
        <f>IF(Y$39,45.88,NA())</f>
        <v>#N/A</v>
      </c>
      <c r="Z55" s="82">
        <f>IF(Z$39,28.93,NA())</f>
        <v>28.93</v>
      </c>
    </row>
    <row r="56" spans="1:26" x14ac:dyDescent="0.3">
      <c r="A56" s="81" t="s">
        <v>95</v>
      </c>
      <c r="B56" s="82">
        <f>IF(B$39,152.74,NA())</f>
        <v>152.74</v>
      </c>
      <c r="C56" s="82">
        <f>IF(C$39,18.71,NA())</f>
        <v>18.71</v>
      </c>
      <c r="D56" s="82">
        <f>IF(D$39,71.3,NA())</f>
        <v>71.3</v>
      </c>
      <c r="E56" s="82">
        <f>IF(E$39,39.99,NA())</f>
        <v>39.99</v>
      </c>
      <c r="F56" s="82" t="e">
        <f>NA()</f>
        <v>#N/A</v>
      </c>
      <c r="G56" s="82" t="e">
        <f>IF(G$39,32.42,NA())</f>
        <v>#N/A</v>
      </c>
      <c r="H56" s="82" t="e">
        <f>IF(H$39,43.76,NA())</f>
        <v>#N/A</v>
      </c>
      <c r="I56" s="82" t="e">
        <f>IF(I$39,85.47,NA())</f>
        <v>#N/A</v>
      </c>
      <c r="J56" s="82">
        <f>IF(J$39,28.58,NA())</f>
        <v>28.58</v>
      </c>
      <c r="K56" s="82" t="e">
        <f>IF(K$39,76.76,NA())</f>
        <v>#N/A</v>
      </c>
      <c r="L56" s="82" t="e">
        <f>IF(L$39,57.91,NA())</f>
        <v>#N/A</v>
      </c>
      <c r="M56" s="82" t="e">
        <f>IF(M$39,62.1,NA())</f>
        <v>#N/A</v>
      </c>
      <c r="N56" s="82" t="e">
        <f>IF(N$39,45.14,NA())</f>
        <v>#N/A</v>
      </c>
      <c r="O56" s="82">
        <f>IF(O$39,22.43,NA())</f>
        <v>22.43</v>
      </c>
      <c r="P56" s="82" t="e">
        <f>IF(P$39,64.69,NA())</f>
        <v>#N/A</v>
      </c>
      <c r="Q56" s="82" t="e">
        <f>IF(Q$39,61.52,NA())</f>
        <v>#N/A</v>
      </c>
      <c r="R56" s="82" t="e">
        <f>IF(R$39,55.04,NA())</f>
        <v>#N/A</v>
      </c>
      <c r="S56" s="82">
        <f>IF(S$39,20.14,NA())</f>
        <v>20.14</v>
      </c>
      <c r="T56" s="82" t="e">
        <f>IF(T$39,70.54,NA())</f>
        <v>#N/A</v>
      </c>
      <c r="U56" s="82" t="e">
        <f>IF(U$39,40.83,NA())</f>
        <v>#N/A</v>
      </c>
      <c r="V56" s="82" t="e">
        <f>IF(V$39,32.53,NA())</f>
        <v>#N/A</v>
      </c>
      <c r="W56" s="82" t="e">
        <f>IF(W$39,47.1,NA())</f>
        <v>#N/A</v>
      </c>
      <c r="X56" s="82" t="e">
        <f>IF(X$39,56.34,NA())</f>
        <v>#N/A</v>
      </c>
      <c r="Y56" s="82" t="e">
        <f>IF(Y$39,45.28,NA())</f>
        <v>#N/A</v>
      </c>
      <c r="Z56" s="82">
        <f>IF(Z$39,29.63,NA())</f>
        <v>29.63</v>
      </c>
    </row>
    <row r="57" spans="1:26" x14ac:dyDescent="0.3">
      <c r="A57" s="81" t="s">
        <v>96</v>
      </c>
      <c r="B57" s="82">
        <f>IF(B$39,156.26,NA())</f>
        <v>156.26</v>
      </c>
      <c r="C57" s="82">
        <f>IF(C$39,19.79,NA())</f>
        <v>19.79</v>
      </c>
      <c r="D57" s="82">
        <f>IF(D$39,71.3,NA())</f>
        <v>71.3</v>
      </c>
      <c r="E57" s="82">
        <f>IF(E$39,40.52,NA())</f>
        <v>40.520000000000003</v>
      </c>
      <c r="F57" s="82" t="e">
        <f>NA()</f>
        <v>#N/A</v>
      </c>
      <c r="G57" s="82" t="e">
        <f>IF(G$39,34.43,NA())</f>
        <v>#N/A</v>
      </c>
      <c r="H57" s="82" t="e">
        <f>IF(H$39,43.21,NA())</f>
        <v>#N/A</v>
      </c>
      <c r="I57" s="82" t="e">
        <f>IF(I$39,88.5,NA())</f>
        <v>#N/A</v>
      </c>
      <c r="J57" s="82">
        <f>IF(J$39,29.54,NA())</f>
        <v>29.54</v>
      </c>
      <c r="K57" s="82" t="e">
        <f>IF(K$39,81.11,NA())</f>
        <v>#N/A</v>
      </c>
      <c r="L57" s="82" t="e">
        <f>IF(L$39,61.48,NA())</f>
        <v>#N/A</v>
      </c>
      <c r="M57" s="82" t="e">
        <f>IF(M$39,63.6,NA())</f>
        <v>#N/A</v>
      </c>
      <c r="N57" s="82" t="e">
        <f>IF(N$39,47.59,NA())</f>
        <v>#N/A</v>
      </c>
      <c r="O57" s="82">
        <f>IF(O$39,22.6,NA())</f>
        <v>22.6</v>
      </c>
      <c r="P57" s="82" t="e">
        <f>IF(P$39,66.42,NA())</f>
        <v>#N/A</v>
      </c>
      <c r="Q57" s="82" t="e">
        <f>IF(Q$39,58.38,NA())</f>
        <v>#N/A</v>
      </c>
      <c r="R57" s="82" t="e">
        <f>IF(R$39,56.88,NA())</f>
        <v>#N/A</v>
      </c>
      <c r="S57" s="82">
        <f>IF(S$39,20.14,NA())</f>
        <v>20.14</v>
      </c>
      <c r="T57" s="82" t="e">
        <f>IF(T$39,69.78,NA())</f>
        <v>#N/A</v>
      </c>
      <c r="U57" s="82" t="e">
        <f>IF(U$39,41.2,NA())</f>
        <v>#N/A</v>
      </c>
      <c r="V57" s="82" t="e">
        <f>IF(V$39,32.33,NA())</f>
        <v>#N/A</v>
      </c>
      <c r="W57" s="82" t="e">
        <f>IF(W$39,47.1,NA())</f>
        <v>#N/A</v>
      </c>
      <c r="X57" s="82" t="e">
        <f>IF(X$39,58.98,NA())</f>
        <v>#N/A</v>
      </c>
      <c r="Y57" s="82" t="e">
        <f>IF(Y$39,50.71,NA())</f>
        <v>#N/A</v>
      </c>
      <c r="Z57" s="82">
        <f>IF(Z$39,29.63,NA())</f>
        <v>29.63</v>
      </c>
    </row>
    <row r="58" spans="1:26" x14ac:dyDescent="0.3">
      <c r="A58" s="81" t="s">
        <v>97</v>
      </c>
      <c r="B58" s="82">
        <f>IF(B$39,158.55,NA())</f>
        <v>158.55000000000001</v>
      </c>
      <c r="C58" s="82">
        <f>IF(C$39,19.61,NA())</f>
        <v>19.61</v>
      </c>
      <c r="D58" s="82">
        <f>IF(D$39,68.64,NA())</f>
        <v>68.64</v>
      </c>
      <c r="E58" s="82">
        <f>IF(E$39,40.52,NA())</f>
        <v>40.520000000000003</v>
      </c>
      <c r="F58" s="82" t="e">
        <f>NA()</f>
        <v>#N/A</v>
      </c>
      <c r="G58" s="82" t="e">
        <f>IF(G$39,36.31,NA())</f>
        <v>#N/A</v>
      </c>
      <c r="H58" s="82" t="e">
        <f>IF(H$39,44.03,NA())</f>
        <v>#N/A</v>
      </c>
      <c r="I58" s="82" t="e">
        <f>IF(I$39,88.78,NA())</f>
        <v>#N/A</v>
      </c>
      <c r="J58" s="82">
        <f>IF(J$39,30.07,NA())</f>
        <v>30.07</v>
      </c>
      <c r="K58" s="82" t="e">
        <f>IF(K$39,80.51,NA())</f>
        <v>#N/A</v>
      </c>
      <c r="L58" s="82" t="e">
        <f>IF(L$39,64.01,NA())</f>
        <v>#N/A</v>
      </c>
      <c r="M58" s="82" t="e">
        <f>IF(M$39,66.07,NA())</f>
        <v>#N/A</v>
      </c>
      <c r="N58" s="82" t="e">
        <f>IF(N$39,48.1,NA())</f>
        <v>#N/A</v>
      </c>
      <c r="O58" s="82">
        <f>IF(O$39,23.54,NA())</f>
        <v>23.54</v>
      </c>
      <c r="P58" s="82" t="e">
        <f>IF(P$39,66.22,NA())</f>
        <v>#N/A</v>
      </c>
      <c r="Q58" s="82" t="e">
        <f>IF(Q$39,57.67,NA())</f>
        <v>#N/A</v>
      </c>
      <c r="R58" s="82" t="e">
        <f>IF(R$39,57.42,NA())</f>
        <v>#N/A</v>
      </c>
      <c r="S58" s="82">
        <f>IF(S$39,20.8,NA())</f>
        <v>20.8</v>
      </c>
      <c r="T58" s="82" t="e">
        <f>IF(T$39,67.26,NA())</f>
        <v>#N/A</v>
      </c>
      <c r="U58" s="82" t="e">
        <f>IF(U$39,43.7,NA())</f>
        <v>#N/A</v>
      </c>
      <c r="V58" s="82" t="e">
        <f>IF(V$39,31.34,NA())</f>
        <v>#N/A</v>
      </c>
      <c r="W58" s="82" t="e">
        <f>IF(W$39,49.48,NA())</f>
        <v>#N/A</v>
      </c>
      <c r="X58" s="82" t="e">
        <f>IF(X$39,58.87,NA())</f>
        <v>#N/A</v>
      </c>
      <c r="Y58" s="82" t="e">
        <f>IF(Y$39,49.51,NA())</f>
        <v>#N/A</v>
      </c>
      <c r="Z58" s="82">
        <f>IF(Z$39,28.35,NA())</f>
        <v>28.35</v>
      </c>
    </row>
    <row r="59" spans="1:26" x14ac:dyDescent="0.3">
      <c r="A59" s="81" t="s">
        <v>98</v>
      </c>
      <c r="B59" s="82">
        <f>IF(B$39,163.3,NA())</f>
        <v>163.30000000000001</v>
      </c>
      <c r="C59" s="82">
        <f>IF(C$39,19.97,NA())</f>
        <v>19.97</v>
      </c>
      <c r="D59" s="82">
        <f>IF(D$39,66.46,NA())</f>
        <v>66.459999999999994</v>
      </c>
      <c r="E59" s="82">
        <f>IF(E$39,40.52,NA())</f>
        <v>40.520000000000003</v>
      </c>
      <c r="F59" s="82" t="e">
        <f>NA()</f>
        <v>#N/A</v>
      </c>
      <c r="G59" s="82" t="e">
        <f>IF(G$39,38.57,NA())</f>
        <v>#N/A</v>
      </c>
      <c r="H59" s="82" t="e">
        <f>IF(H$39,46.78,NA())</f>
        <v>#N/A</v>
      </c>
      <c r="I59" s="82" t="e">
        <f>IF(I$39,94.02,NA())</f>
        <v>#N/A</v>
      </c>
      <c r="J59" s="82">
        <f>IF(J$39,31.77,NA())</f>
        <v>31.77</v>
      </c>
      <c r="K59" s="82" t="e">
        <f>IF(K$39,81.89,NA())</f>
        <v>#N/A</v>
      </c>
      <c r="L59" s="82" t="e">
        <f>IF(L$39,65.2,NA())</f>
        <v>#N/A</v>
      </c>
      <c r="M59" s="82" t="e">
        <f>IF(M$39,65.8,NA())</f>
        <v>#N/A</v>
      </c>
      <c r="N59" s="82" t="e">
        <f>IF(N$39,50.7,NA())</f>
        <v>#N/A</v>
      </c>
      <c r="O59" s="82">
        <f>IF(O$39,24.48,NA())</f>
        <v>24.48</v>
      </c>
      <c r="P59" s="82" t="e">
        <f>IF(P$39,66.93,NA())</f>
        <v>#N/A</v>
      </c>
      <c r="Q59" s="82" t="e">
        <f>IF(Q$39,58.1,NA())</f>
        <v>#N/A</v>
      </c>
      <c r="R59" s="82" t="e">
        <f>IF(R$39,56.77,NA())</f>
        <v>#N/A</v>
      </c>
      <c r="S59" s="82">
        <f>IF(S$39,21.13,NA())</f>
        <v>21.13</v>
      </c>
      <c r="T59" s="82" t="e">
        <f>IF(T$39,70.29,NA())</f>
        <v>#N/A</v>
      </c>
      <c r="U59" s="82" t="e">
        <f>IF(U$39,43.79,NA())</f>
        <v>#N/A</v>
      </c>
      <c r="V59" s="82" t="e">
        <f>IF(V$39,32.33,NA())</f>
        <v>#N/A</v>
      </c>
      <c r="W59" s="82" t="e">
        <f>IF(W$39,49.82,NA())</f>
        <v>#N/A</v>
      </c>
      <c r="X59" s="82" t="e">
        <f>IF(X$39,59.42,NA())</f>
        <v>#N/A</v>
      </c>
      <c r="Y59" s="82" t="e">
        <f>IF(Y$39,51.92,NA())</f>
        <v>#N/A</v>
      </c>
      <c r="Z59" s="82">
        <f>IF(Z$39,27.08,NA())</f>
        <v>27.08</v>
      </c>
    </row>
    <row r="60" spans="1:26" x14ac:dyDescent="0.3">
      <c r="A60" s="81" t="s">
        <v>99</v>
      </c>
      <c r="B60" s="82">
        <f>IF(B$39,165.77,NA())</f>
        <v>165.77</v>
      </c>
      <c r="C60" s="82">
        <f>IF(C$39,23.38,NA())</f>
        <v>23.38</v>
      </c>
      <c r="D60" s="82">
        <f>IF(D$39,63.8,NA())</f>
        <v>63.8</v>
      </c>
      <c r="E60" s="82">
        <f>IF(E$39,41.98,NA())</f>
        <v>41.98</v>
      </c>
      <c r="F60" s="82" t="e">
        <f>NA()</f>
        <v>#N/A</v>
      </c>
      <c r="G60" s="82" t="e">
        <f>IF(G$39,39.7,NA())</f>
        <v>#N/A</v>
      </c>
      <c r="H60" s="82" t="e">
        <f>IF(H$39,46.36,NA())</f>
        <v>#N/A</v>
      </c>
      <c r="I60" s="82" t="e">
        <f>IF(I$39,97.33,NA())</f>
        <v>#N/A</v>
      </c>
      <c r="J60" s="82">
        <f>IF(J$39,33.47,NA())</f>
        <v>33.47</v>
      </c>
      <c r="K60" s="82" t="e">
        <f>IF(K$39,82.29,NA())</f>
        <v>#N/A</v>
      </c>
      <c r="L60" s="82" t="e">
        <f>IF(L$39,67.73,NA())</f>
        <v>#N/A</v>
      </c>
      <c r="M60" s="82" t="e">
        <f>IF(M$39,65.66,NA())</f>
        <v>#N/A</v>
      </c>
      <c r="N60" s="82" t="e">
        <f>IF(N$39,50.19,NA())</f>
        <v>#N/A</v>
      </c>
      <c r="O60" s="82">
        <f>IF(O$39,25.04,NA())</f>
        <v>25.04</v>
      </c>
      <c r="P60" s="82" t="e">
        <f>IF(P$39,68.25,NA())</f>
        <v>#N/A</v>
      </c>
      <c r="Q60" s="82" t="e">
        <f>IF(Q$39,60.23,NA())</f>
        <v>#N/A</v>
      </c>
      <c r="R60" s="82" t="e">
        <f>IF(R$39,57.31,NA())</f>
        <v>#N/A</v>
      </c>
      <c r="S60" s="82">
        <f>IF(S$39,22.12,NA())</f>
        <v>22.12</v>
      </c>
      <c r="T60" s="82" t="e">
        <f>IF(T$39,69.66,NA())</f>
        <v>#N/A</v>
      </c>
      <c r="U60" s="82" t="e">
        <f>IF(U$39,42.31,NA())</f>
        <v>#N/A</v>
      </c>
      <c r="V60" s="82" t="e">
        <f>IF(V$39,32.92,NA())</f>
        <v>#N/A</v>
      </c>
      <c r="W60" s="82" t="e">
        <f>IF(W$39,48.46,NA())</f>
        <v>#N/A</v>
      </c>
      <c r="X60" s="82" t="e">
        <f>IF(X$39,61.39,NA())</f>
        <v>#N/A</v>
      </c>
      <c r="Y60" s="82" t="e">
        <f>IF(Y$39,55.54,NA())</f>
        <v>#N/A</v>
      </c>
      <c r="Z60" s="82">
        <f>IF(Z$39,27.2,NA())</f>
        <v>27.2</v>
      </c>
    </row>
    <row r="61" spans="1:26" x14ac:dyDescent="0.3">
      <c r="A61" s="81" t="s">
        <v>100</v>
      </c>
      <c r="B61" s="82">
        <f>IF(B$39,162.42,NA())</f>
        <v>162.41999999999999</v>
      </c>
      <c r="C61" s="82">
        <f>IF(C$39,25.18,NA())</f>
        <v>25.18</v>
      </c>
      <c r="D61" s="82">
        <f>IF(D$39,60.78,NA())</f>
        <v>60.78</v>
      </c>
      <c r="E61" s="82">
        <f>IF(E$39,41.71,NA())</f>
        <v>41.71</v>
      </c>
      <c r="F61" s="82" t="e">
        <f>NA()</f>
        <v>#N/A</v>
      </c>
      <c r="G61" s="82" t="e">
        <f>IF(G$39,39.83,NA())</f>
        <v>#N/A</v>
      </c>
      <c r="H61" s="82" t="e">
        <f>IF(H$39,48.97,NA())</f>
        <v>#N/A</v>
      </c>
      <c r="I61" s="82" t="e">
        <f>IF(I$39,100.36,NA())</f>
        <v>#N/A</v>
      </c>
      <c r="J61" s="82">
        <f>IF(J$39,36.13,NA())</f>
        <v>36.130000000000003</v>
      </c>
      <c r="K61" s="82" t="e">
        <f>IF(K$39,83.28,NA())</f>
        <v>#N/A</v>
      </c>
      <c r="L61" s="82" t="e">
        <f>IF(L$39,68.03,NA())</f>
        <v>#N/A</v>
      </c>
      <c r="M61" s="82" t="e">
        <f>IF(M$39,67.17,NA())</f>
        <v>#N/A</v>
      </c>
      <c r="N61" s="82" t="e">
        <f>IF(N$39,52.07,NA())</f>
        <v>#N/A</v>
      </c>
      <c r="O61" s="82">
        <f>IF(O$39,25.3,NA())</f>
        <v>25.3</v>
      </c>
      <c r="P61" s="82" t="e">
        <f>IF(P$39,71.51,NA())</f>
        <v>#N/A</v>
      </c>
      <c r="Q61" s="82" t="e">
        <f>IF(Q$39,59.38,NA())</f>
        <v>#N/A</v>
      </c>
      <c r="R61" s="82" t="e">
        <f>IF(R$39,58.39,NA())</f>
        <v>#N/A</v>
      </c>
      <c r="S61" s="82">
        <f>IF(S$39,23.44,NA())</f>
        <v>23.44</v>
      </c>
      <c r="T61" s="82" t="e">
        <f>IF(T$39,70.92,NA())</f>
        <v>#N/A</v>
      </c>
      <c r="U61" s="82" t="e">
        <f>IF(U$39,41.29,NA())</f>
        <v>#N/A</v>
      </c>
      <c r="V61" s="82" t="e">
        <f>IF(V$39,32.92,NA())</f>
        <v>#N/A</v>
      </c>
      <c r="W61" s="82" t="e">
        <f>IF(W$39,48.97,NA())</f>
        <v>#N/A</v>
      </c>
      <c r="X61" s="82" t="e">
        <f>IF(X$39,62.49,NA())</f>
        <v>#N/A</v>
      </c>
      <c r="Y61" s="82" t="e">
        <f>IF(Y$39,57.66,NA())</f>
        <v>#N/A</v>
      </c>
      <c r="Z61" s="82">
        <f>IF(Z$39,27.08,NA())</f>
        <v>27.08</v>
      </c>
    </row>
    <row r="62" spans="1:26" x14ac:dyDescent="0.3">
      <c r="A62" s="81" t="s">
        <v>101</v>
      </c>
      <c r="B62" s="82">
        <f>IF(B$39,159.96,NA())</f>
        <v>159.96</v>
      </c>
      <c r="C62" s="82">
        <f>IF(C$39,27.88,NA())</f>
        <v>27.88</v>
      </c>
      <c r="D62" s="82">
        <f>IF(D$39,61.51,NA())</f>
        <v>61.51</v>
      </c>
      <c r="E62" s="82">
        <f>IF(E$39,42.51,NA())</f>
        <v>42.51</v>
      </c>
      <c r="F62" s="82" t="e">
        <f>NA()</f>
        <v>#N/A</v>
      </c>
      <c r="G62" s="82" t="e">
        <f>IF(G$39,42.47,NA())</f>
        <v>#N/A</v>
      </c>
      <c r="H62" s="82" t="e">
        <f>IF(H$39,50.48,NA())</f>
        <v>#N/A</v>
      </c>
      <c r="I62" s="82" t="e">
        <f>IF(I$39,102.84,NA())</f>
        <v>#N/A</v>
      </c>
      <c r="J62" s="82">
        <f>IF(J$39,35.81,NA())</f>
        <v>35.81</v>
      </c>
      <c r="K62" s="82" t="e">
        <f>IF(K$39,84.46,NA())</f>
        <v>#N/A</v>
      </c>
      <c r="L62" s="82" t="e">
        <f>IF(L$39,69.07,NA())</f>
        <v>#N/A</v>
      </c>
      <c r="M62" s="82" t="e">
        <f>IF(M$39,68.68,NA())</f>
        <v>#N/A</v>
      </c>
      <c r="N62" s="82" t="e">
        <f>IF(N$39,52.93,NA())</f>
        <v>#N/A</v>
      </c>
      <c r="O62" s="82">
        <f>IF(O$39,26.49,NA())</f>
        <v>26.49</v>
      </c>
      <c r="P62" s="82" t="e">
        <f>IF(P$39,73.35,NA())</f>
        <v>#N/A</v>
      </c>
      <c r="Q62" s="82" t="e">
        <f>IF(Q$39,61.66,NA())</f>
        <v>#N/A</v>
      </c>
      <c r="R62" s="82" t="e">
        <f>IF(R$39,58.39,NA())</f>
        <v>#N/A</v>
      </c>
      <c r="S62" s="82">
        <f>IF(S$39,24.43,NA())</f>
        <v>24.43</v>
      </c>
      <c r="T62" s="82" t="e">
        <f>IF(T$39,71.17,NA())</f>
        <v>#N/A</v>
      </c>
      <c r="U62" s="82" t="e">
        <f>IF(U$39,40.92,NA())</f>
        <v>#N/A</v>
      </c>
      <c r="V62" s="82" t="e">
        <f>IF(V$39,34.1,NA())</f>
        <v>#N/A</v>
      </c>
      <c r="W62" s="82" t="e">
        <f>IF(W$39,48.8,NA())</f>
        <v>#N/A</v>
      </c>
      <c r="X62" s="82" t="e">
        <f>IF(X$39,62.6,NA())</f>
        <v>#N/A</v>
      </c>
      <c r="Y62" s="82" t="e">
        <f>IF(Y$39,57.66,NA())</f>
        <v>#N/A</v>
      </c>
      <c r="Z62" s="82">
        <f>IF(Z$39,28.01,NA())</f>
        <v>28.01</v>
      </c>
    </row>
    <row r="63" spans="1:26" x14ac:dyDescent="0.3">
      <c r="A63" s="81" t="s">
        <v>102</v>
      </c>
      <c r="B63" s="82">
        <f>IF(B$39,155.56,NA())</f>
        <v>155.56</v>
      </c>
      <c r="C63" s="82">
        <f>IF(C$39,30.4,NA())</f>
        <v>30.4</v>
      </c>
      <c r="D63" s="82">
        <f>IF(D$39,62.23,NA())</f>
        <v>62.23</v>
      </c>
      <c r="E63" s="82">
        <f>IF(E$39,45.03,NA())</f>
        <v>45.03</v>
      </c>
      <c r="F63" s="82" t="e">
        <f>NA()</f>
        <v>#N/A</v>
      </c>
      <c r="G63" s="82" t="e">
        <f>IF(G$39,43.85,NA())</f>
        <v>#N/A</v>
      </c>
      <c r="H63" s="82" t="e">
        <f>IF(H$39,49.79,NA())</f>
        <v>#N/A</v>
      </c>
      <c r="I63" s="82" t="e">
        <f>IF(I$39,105.87,NA())</f>
        <v>#N/A</v>
      </c>
      <c r="J63" s="82">
        <f>IF(J$39,35.81,NA())</f>
        <v>35.81</v>
      </c>
      <c r="K63" s="82" t="e">
        <f>IF(K$39,85.45,NA())</f>
        <v>#N/A</v>
      </c>
      <c r="L63" s="82" t="e">
        <f>IF(L$39,70.26,NA())</f>
        <v>#N/A</v>
      </c>
      <c r="M63" s="82" t="e">
        <f>IF(M$39,71.14,NA())</f>
        <v>#N/A</v>
      </c>
      <c r="N63" s="82" t="e">
        <f>IF(N$39,54.74,NA())</f>
        <v>#N/A</v>
      </c>
      <c r="O63" s="82">
        <f>IF(O$39,27.31,NA())</f>
        <v>27.31</v>
      </c>
      <c r="P63" s="82" t="e">
        <f>IF(P$39,73.25,NA())</f>
        <v>#N/A</v>
      </c>
      <c r="Q63" s="82" t="e">
        <f>IF(Q$39,60.95,NA())</f>
        <v>#N/A</v>
      </c>
      <c r="R63" s="82" t="e">
        <f>IF(R$39,60.67,NA())</f>
        <v>#N/A</v>
      </c>
      <c r="S63" s="82">
        <f>IF(S$39,25.09,NA())</f>
        <v>25.09</v>
      </c>
      <c r="T63" s="82" t="e">
        <f>IF(T$39,72.93,NA())</f>
        <v>#N/A</v>
      </c>
      <c r="U63" s="82" t="e">
        <f>IF(U$39,42.12,NA())</f>
        <v>#N/A</v>
      </c>
      <c r="V63" s="82" t="e">
        <f>IF(V$39,33.12,NA())</f>
        <v>#N/A</v>
      </c>
      <c r="W63" s="82" t="e">
        <f>IF(W$39,50.5,NA())</f>
        <v>#N/A</v>
      </c>
      <c r="X63" s="82" t="e">
        <f>IF(X$39,60.95,NA())</f>
        <v>#N/A</v>
      </c>
      <c r="Y63" s="82" t="e">
        <f>IF(Y$39,60.37,NA())</f>
        <v>#N/A</v>
      </c>
      <c r="Z63" s="82">
        <f>IF(Z$39,28.35,NA())</f>
        <v>28.35</v>
      </c>
    </row>
    <row r="64" spans="1:26" x14ac:dyDescent="0.3">
      <c r="A64" s="81" t="s">
        <v>103</v>
      </c>
      <c r="B64" s="82">
        <f>IF(B$39,153.8,NA())</f>
        <v>153.80000000000001</v>
      </c>
      <c r="C64" s="82">
        <f>IF(C$39,32.02,NA())</f>
        <v>32.020000000000003</v>
      </c>
      <c r="D64" s="82">
        <f>IF(D$39,65.01,NA())</f>
        <v>65.010000000000005</v>
      </c>
      <c r="E64" s="82">
        <f>IF(E$39,45.83,NA())</f>
        <v>45.83</v>
      </c>
      <c r="F64" s="82" t="e">
        <f>NA()</f>
        <v>#N/A</v>
      </c>
      <c r="G64" s="82" t="e">
        <f>IF(G$39,43.47,NA())</f>
        <v>#N/A</v>
      </c>
      <c r="H64" s="82" t="e">
        <f>IF(H$39,50.07,NA())</f>
        <v>#N/A</v>
      </c>
      <c r="I64" s="82" t="e">
        <f>IF(I$39,108.35,NA())</f>
        <v>#N/A</v>
      </c>
      <c r="J64" s="82">
        <f>IF(J$39,35.28,NA())</f>
        <v>35.28</v>
      </c>
      <c r="K64" s="82" t="e">
        <f>IF(K$39,90.97,NA())</f>
        <v>#N/A</v>
      </c>
      <c r="L64" s="82" t="e">
        <f>IF(L$39,69.37,NA())</f>
        <v>#N/A</v>
      </c>
      <c r="M64" s="82" t="e">
        <f>IF(M$39,71.83,NA())</f>
        <v>#N/A</v>
      </c>
      <c r="N64" s="82" t="e">
        <f>IF(N$39,56.69,NA())</f>
        <v>#N/A</v>
      </c>
      <c r="O64" s="82">
        <f>IF(O$39,27.9,NA())</f>
        <v>27.9</v>
      </c>
      <c r="P64" s="82" t="e">
        <f>IF(P$39,74.98,NA())</f>
        <v>#N/A</v>
      </c>
      <c r="Q64" s="82" t="e">
        <f>IF(Q$39,62.23,NA())</f>
        <v>#N/A</v>
      </c>
      <c r="R64" s="82" t="e">
        <f>IF(R$39,64.34,NA())</f>
        <v>#N/A</v>
      </c>
      <c r="S64" s="82">
        <f>IF(S$39,27.4,NA())</f>
        <v>27.4</v>
      </c>
      <c r="T64" s="82" t="e">
        <f>IF(T$39,72.3,NA())</f>
        <v>#N/A</v>
      </c>
      <c r="U64" s="82" t="e">
        <f>IF(U$39,41.75,NA())</f>
        <v>#N/A</v>
      </c>
      <c r="V64" s="82" t="e">
        <f>IF(V$39,34.89,NA())</f>
        <v>#N/A</v>
      </c>
      <c r="W64" s="82" t="e">
        <f>IF(W$39,51.69,NA())</f>
        <v>#N/A</v>
      </c>
      <c r="X64" s="82" t="e">
        <f>IF(X$39,61.5,NA())</f>
        <v>#N/A</v>
      </c>
      <c r="Y64" s="82" t="e">
        <f>IF(Y$39,61.88,NA())</f>
        <v>#N/A</v>
      </c>
      <c r="Z64" s="82">
        <f>IF(Z$39,28.7,NA())</f>
        <v>28.7</v>
      </c>
    </row>
    <row r="65" spans="1:26" x14ac:dyDescent="0.3">
      <c r="A65" s="81" t="s">
        <v>104</v>
      </c>
      <c r="B65" s="82">
        <f>IF(B$39,154.33,NA())</f>
        <v>154.33000000000001</v>
      </c>
      <c r="C65" s="82">
        <f>IF(C$39,33.1,NA())</f>
        <v>33.1</v>
      </c>
      <c r="D65" s="82">
        <f>IF(D$39,66.95,NA())</f>
        <v>66.95</v>
      </c>
      <c r="E65" s="82">
        <f>IF(E$39,45.96,NA())</f>
        <v>45.96</v>
      </c>
      <c r="F65" s="82" t="e">
        <f>NA()</f>
        <v>#N/A</v>
      </c>
      <c r="G65" s="82" t="e">
        <f>IF(G$39,45.23,NA())</f>
        <v>#N/A</v>
      </c>
      <c r="H65" s="82" t="e">
        <f>IF(H$39,49.93,NA())</f>
        <v>#N/A</v>
      </c>
      <c r="I65" s="82" t="e">
        <f>IF(I$39,105.32,NA())</f>
        <v>#N/A</v>
      </c>
      <c r="J65" s="82">
        <f>IF(J$39,36.23,NA())</f>
        <v>36.229999999999997</v>
      </c>
      <c r="K65" s="82" t="e">
        <f>IF(K$39,89.39,NA())</f>
        <v>#N/A</v>
      </c>
      <c r="L65" s="82" t="e">
        <f>IF(L$39,70.26,NA())</f>
        <v>#N/A</v>
      </c>
      <c r="M65" s="82" t="e">
        <f>IF(M$39,72.51,NA())</f>
        <v>#N/A</v>
      </c>
      <c r="N65" s="82" t="e">
        <f>IF(N$39,58.93,NA())</f>
        <v>#N/A</v>
      </c>
      <c r="O65" s="82">
        <f>IF(O$39,28.5,NA())</f>
        <v>28.5</v>
      </c>
      <c r="P65" s="82" t="e">
        <f>IF(P$39,74.37,NA())</f>
        <v>#N/A</v>
      </c>
      <c r="Q65" s="82" t="e">
        <f>IF(Q$39,64.08,NA())</f>
        <v>#N/A</v>
      </c>
      <c r="R65" s="82" t="e">
        <f>IF(R$39,65.96,NA())</f>
        <v>#N/A</v>
      </c>
      <c r="S65" s="82">
        <f>IF(S$39,30.37,NA())</f>
        <v>30.37</v>
      </c>
      <c r="T65" s="82" t="e">
        <f>IF(T$39,73.69,NA())</f>
        <v>#N/A</v>
      </c>
      <c r="U65" s="82" t="e">
        <f>IF(U$39,43.79,NA())</f>
        <v>#N/A</v>
      </c>
      <c r="V65" s="82" t="e">
        <f>IF(V$39,37.06,NA())</f>
        <v>#N/A</v>
      </c>
      <c r="W65" s="82" t="e">
        <f>IF(W$39,53.05,NA())</f>
        <v>#N/A</v>
      </c>
      <c r="X65" s="82" t="e">
        <f>IF(X$39,61.28,NA())</f>
        <v>#N/A</v>
      </c>
      <c r="Y65" s="82" t="e">
        <f>IF(Y$39,64.6,NA())</f>
        <v>#N/A</v>
      </c>
      <c r="Z65" s="82">
        <f>IF(Z$39,27.43,NA())</f>
        <v>27.43</v>
      </c>
    </row>
    <row r="66" spans="1:26" x14ac:dyDescent="0.3">
      <c r="A66" s="81" t="s">
        <v>105</v>
      </c>
      <c r="B66" s="82">
        <f>IF(B$39,152.04,NA())</f>
        <v>152.04</v>
      </c>
      <c r="C66" s="82">
        <f>IF(C$39,34.72,NA())</f>
        <v>34.72</v>
      </c>
      <c r="D66" s="82">
        <f>IF(D$39,64.89,NA())</f>
        <v>64.89</v>
      </c>
      <c r="E66" s="82">
        <f>IF(E$39,46.36,NA())</f>
        <v>46.36</v>
      </c>
      <c r="F66" s="82" t="e">
        <f>NA()</f>
        <v>#N/A</v>
      </c>
      <c r="G66" s="82" t="e">
        <f>IF(G$39,47.12,NA())</f>
        <v>#N/A</v>
      </c>
      <c r="H66" s="82" t="e">
        <f>IF(H$39,48.42,NA())</f>
        <v>#N/A</v>
      </c>
      <c r="I66" s="82" t="e">
        <f>IF(I$39,107.25,NA())</f>
        <v>#N/A</v>
      </c>
      <c r="J66" s="82">
        <f>IF(J$39,37.4,NA())</f>
        <v>37.4</v>
      </c>
      <c r="K66" s="82" t="e">
        <f>IF(K$39,85.05,NA())</f>
        <v>#N/A</v>
      </c>
      <c r="L66" s="82" t="e">
        <f>IF(L$39,69.97,NA())</f>
        <v>#N/A</v>
      </c>
      <c r="M66" s="82" t="e">
        <f>IF(M$39,71.56,NA())</f>
        <v>#N/A</v>
      </c>
      <c r="N66" s="82" t="e">
        <f>IF(N$39,58.28,NA())</f>
        <v>#N/A</v>
      </c>
      <c r="O66" s="82">
        <f>IF(O$39,28.8,NA())</f>
        <v>28.8</v>
      </c>
      <c r="P66" s="82" t="e">
        <f>IF(P$39,73.76,NA())</f>
        <v>#N/A</v>
      </c>
      <c r="Q66" s="82" t="e">
        <f>IF(Q$39,63.51,NA())</f>
        <v>#N/A</v>
      </c>
      <c r="R66" s="82" t="e">
        <f>IF(R$39,68.88,NA())</f>
        <v>#N/A</v>
      </c>
      <c r="S66" s="82">
        <f>IF(S$39,32.02,NA())</f>
        <v>32.020000000000003</v>
      </c>
      <c r="T66" s="82" t="e">
        <f>IF(T$39,72.18,NA())</f>
        <v>#N/A</v>
      </c>
      <c r="U66" s="82" t="e">
        <f>IF(U$39,43.14,NA())</f>
        <v>#N/A</v>
      </c>
      <c r="V66" s="82" t="e">
        <f>IF(V$39,36.27,NA())</f>
        <v>#N/A</v>
      </c>
      <c r="W66" s="82" t="e">
        <f>IF(W$39,54.24,NA())</f>
        <v>#N/A</v>
      </c>
      <c r="X66" s="82" t="e">
        <f>IF(X$39,60.62,NA())</f>
        <v>#N/A</v>
      </c>
      <c r="Y66" s="82" t="e">
        <f>IF(Y$39,67.92,NA())</f>
        <v>#N/A</v>
      </c>
      <c r="Z66" s="82">
        <f>IF(Z$39,27.54,NA())</f>
        <v>27.54</v>
      </c>
    </row>
    <row r="67" spans="1:26" x14ac:dyDescent="0.3">
      <c r="A67" s="81" t="s">
        <v>106</v>
      </c>
      <c r="B67" s="82">
        <f>IF(B$39,150.28,NA())</f>
        <v>150.28</v>
      </c>
      <c r="C67" s="82">
        <f>IF(C$39,36.69,NA())</f>
        <v>36.69</v>
      </c>
      <c r="D67" s="82">
        <f>IF(D$39,63.68,NA())</f>
        <v>63.68</v>
      </c>
      <c r="E67" s="82">
        <f>IF(E$39,47.69,NA())</f>
        <v>47.69</v>
      </c>
      <c r="F67" s="82" t="e">
        <f>NA()</f>
        <v>#N/A</v>
      </c>
      <c r="G67" s="82" t="e">
        <f>IF(G$39,49.13,NA())</f>
        <v>#N/A</v>
      </c>
      <c r="H67" s="82" t="e">
        <f>IF(H$39,48.7,NA())</f>
        <v>#N/A</v>
      </c>
      <c r="I67" s="82" t="e">
        <f>IF(I$39,108.35,NA())</f>
        <v>#N/A</v>
      </c>
      <c r="J67" s="82">
        <f>IF(J$39,38.25,NA())</f>
        <v>38.25</v>
      </c>
      <c r="K67" s="82" t="e">
        <f>IF(K$39,85.64,NA())</f>
        <v>#N/A</v>
      </c>
      <c r="L67" s="82" t="e">
        <f>IF(L$39,72.05,NA())</f>
        <v>#N/A</v>
      </c>
      <c r="M67" s="82" t="e">
        <f>IF(M$39,74.02,NA())</f>
        <v>#N/A</v>
      </c>
      <c r="N67" s="82" t="e">
        <f>IF(N$39,58.71,NA())</f>
        <v>#N/A</v>
      </c>
      <c r="O67" s="82">
        <f>IF(O$39,28.93,NA())</f>
        <v>28.93</v>
      </c>
      <c r="P67" s="82" t="e">
        <f>IF(P$39,76.91,NA())</f>
        <v>#N/A</v>
      </c>
      <c r="Q67" s="82" t="e">
        <f>IF(Q$39,64.08,NA())</f>
        <v>#N/A</v>
      </c>
      <c r="R67" s="82" t="e">
        <f>IF(R$39,71.37,NA())</f>
        <v>#N/A</v>
      </c>
      <c r="S67" s="82">
        <f>IF(S$39,32.68,NA())</f>
        <v>32.68</v>
      </c>
      <c r="T67" s="82" t="e">
        <f>IF(T$39,72.18,NA())</f>
        <v>#N/A</v>
      </c>
      <c r="U67" s="82" t="e">
        <f>IF(U$39,43.33,NA())</f>
        <v>#N/A</v>
      </c>
      <c r="V67" s="82" t="e">
        <f>IF(V$39,36.27,NA())</f>
        <v>#N/A</v>
      </c>
      <c r="W67" s="82" t="e">
        <f>IF(W$39,53.73,NA())</f>
        <v>#N/A</v>
      </c>
      <c r="X67" s="82" t="e">
        <f>IF(X$39,61.28,NA())</f>
        <v>#N/A</v>
      </c>
      <c r="Y67" s="82" t="e">
        <f>IF(Y$39,73.05,NA())</f>
        <v>#N/A</v>
      </c>
      <c r="Z67" s="82">
        <f>IF(Z$39,26.96,NA())</f>
        <v>26.96</v>
      </c>
    </row>
    <row r="68" spans="1:26" x14ac:dyDescent="0.3">
      <c r="A68" s="81" t="s">
        <v>107</v>
      </c>
      <c r="B68" s="82">
        <f>IF(B$39,151.34,NA())</f>
        <v>151.34</v>
      </c>
      <c r="C68" s="82">
        <f>IF(C$39,38.49,NA())</f>
        <v>38.49</v>
      </c>
      <c r="D68" s="82">
        <f>IF(D$39,61.87,NA())</f>
        <v>61.87</v>
      </c>
      <c r="E68" s="82">
        <f>IF(E$39,47.16,NA())</f>
        <v>47.16</v>
      </c>
      <c r="F68" s="82" t="e">
        <f>NA()</f>
        <v>#N/A</v>
      </c>
      <c r="G68" s="82" t="e">
        <f>IF(G$39,49.63,NA())</f>
        <v>#N/A</v>
      </c>
      <c r="H68" s="82" t="e">
        <f>IF(H$39,48.97,NA())</f>
        <v>#N/A</v>
      </c>
      <c r="I68" s="82" t="e">
        <f>IF(I$39,109.73,NA())</f>
        <v>#N/A</v>
      </c>
      <c r="J68" s="82">
        <f>IF(J$39,37.83,NA())</f>
        <v>37.83</v>
      </c>
      <c r="K68" s="82" t="e">
        <f>IF(K$39,88.41,NA())</f>
        <v>#N/A</v>
      </c>
      <c r="L68" s="82" t="e">
        <f>IF(L$39,72.35,NA())</f>
        <v>#N/A</v>
      </c>
      <c r="M68" s="82" t="e">
        <f>IF(M$39,76.08,NA())</f>
        <v>#N/A</v>
      </c>
      <c r="N68" s="82" t="e">
        <f>IF(N$39,59.8,NA())</f>
        <v>#N/A</v>
      </c>
      <c r="O68" s="82">
        <f>IF(O$39,29.27,NA())</f>
        <v>29.27</v>
      </c>
      <c r="P68" s="82" t="e">
        <f>IF(P$39,77.83,NA())</f>
        <v>#N/A</v>
      </c>
      <c r="Q68" s="82" t="e">
        <f>IF(Q$39,63.51,NA())</f>
        <v>#N/A</v>
      </c>
      <c r="R68" s="82" t="e">
        <f>IF(R$39,70.94,NA())</f>
        <v>#N/A</v>
      </c>
      <c r="S68" s="82">
        <f>IF(S$39,33.67,NA())</f>
        <v>33.67</v>
      </c>
      <c r="T68" s="82" t="e">
        <f>IF(T$39,71.93,NA())</f>
        <v>#N/A</v>
      </c>
      <c r="U68" s="82" t="e">
        <f>IF(U$39,43.7,NA())</f>
        <v>#N/A</v>
      </c>
      <c r="V68" s="82" t="e">
        <f>IF(V$39,35.88,NA())</f>
        <v>#N/A</v>
      </c>
      <c r="W68" s="82" t="e">
        <f>IF(W$39,53.39,NA())</f>
        <v>#N/A</v>
      </c>
      <c r="X68" s="82" t="e">
        <f>IF(X$39,61.72,NA())</f>
        <v>#N/A</v>
      </c>
      <c r="Y68" s="82" t="e">
        <f>IF(Y$39,77.28,NA())</f>
        <v>#N/A</v>
      </c>
      <c r="Z68" s="82">
        <f>IF(Z$39,26.62,NA())</f>
        <v>26.62</v>
      </c>
    </row>
    <row r="69" spans="1:26" x14ac:dyDescent="0.3">
      <c r="A69" s="81" t="s">
        <v>108</v>
      </c>
      <c r="B69" s="82">
        <f>IF(B$39,147.29,NA())</f>
        <v>147.29</v>
      </c>
      <c r="C69" s="82">
        <f>IF(C$39,38.67,NA())</f>
        <v>38.67</v>
      </c>
      <c r="D69" s="82">
        <f>IF(D$39,61.87,NA())</f>
        <v>61.87</v>
      </c>
      <c r="E69" s="82">
        <f>IF(E$39,46.63,NA())</f>
        <v>46.63</v>
      </c>
      <c r="F69" s="82" t="e">
        <f>NA()</f>
        <v>#N/A</v>
      </c>
      <c r="G69" s="82" t="e">
        <f>IF(G$39,48.5,NA())</f>
        <v>#N/A</v>
      </c>
      <c r="H69" s="82" t="e">
        <f>IF(H$39,48.97,NA())</f>
        <v>#N/A</v>
      </c>
      <c r="I69" s="82" t="e">
        <f>IF(I$39,107.53,NA())</f>
        <v>#N/A</v>
      </c>
      <c r="J69" s="82">
        <f>IF(J$39,37.29,NA())</f>
        <v>37.29</v>
      </c>
      <c r="K69" s="82" t="e">
        <f>IF(K$39,87.62,NA())</f>
        <v>#N/A</v>
      </c>
      <c r="L69" s="82" t="e">
        <f>IF(L$39,71.16,NA())</f>
        <v>#N/A</v>
      </c>
      <c r="M69" s="82" t="e">
        <f>IF(M$39,74.43,NA())</f>
        <v>#N/A</v>
      </c>
      <c r="N69" s="82" t="e">
        <f>IF(N$39,59.29,NA())</f>
        <v>#N/A</v>
      </c>
      <c r="O69" s="82">
        <f>IF(O$39,29.14,NA())</f>
        <v>29.14</v>
      </c>
      <c r="P69" s="82" t="e">
        <f>IF(P$39,76.1,NA())</f>
        <v>#N/A</v>
      </c>
      <c r="Q69" s="82" t="e">
        <f>IF(Q$39,64.51,NA())</f>
        <v>#N/A</v>
      </c>
      <c r="R69" s="82" t="e">
        <f>IF(R$39,70.72,NA())</f>
        <v>#N/A</v>
      </c>
      <c r="S69" s="82">
        <f>IF(S$39,35.98,NA())</f>
        <v>35.979999999999997</v>
      </c>
      <c r="T69" s="82" t="e">
        <f>IF(T$39,71.17,NA())</f>
        <v>#N/A</v>
      </c>
      <c r="U69" s="82" t="e">
        <f>IF(U$39,44.25,NA())</f>
        <v>#N/A</v>
      </c>
      <c r="V69" s="82" t="e">
        <f>IF(V$39,35.88,NA())</f>
        <v>#N/A</v>
      </c>
      <c r="W69" s="82" t="e">
        <f>IF(W$39,53.05,NA())</f>
        <v>#N/A</v>
      </c>
      <c r="X69" s="82" t="e">
        <f>IF(X$39,60.4,NA())</f>
        <v>#N/A</v>
      </c>
      <c r="Y69" s="82" t="e">
        <f>IF(Y$39,75.77,NA())</f>
        <v>#N/A</v>
      </c>
      <c r="Z69" s="82">
        <f>IF(Z$39,25.81,NA())</f>
        <v>25.81</v>
      </c>
    </row>
    <row r="70" spans="1:26" x14ac:dyDescent="0.3">
      <c r="A70" s="81" t="s">
        <v>109</v>
      </c>
      <c r="B70" s="82">
        <f>IF(B$39,144.3,NA())</f>
        <v>144.30000000000001</v>
      </c>
      <c r="C70" s="82">
        <f>IF(C$39,40.47,NA())</f>
        <v>40.47</v>
      </c>
      <c r="D70" s="82">
        <f>IF(D$39,61.27,NA())</f>
        <v>61.27</v>
      </c>
      <c r="E70" s="82">
        <f>IF(E$39,47.16,NA())</f>
        <v>47.16</v>
      </c>
      <c r="F70" s="82" t="e">
        <f>NA()</f>
        <v>#N/A</v>
      </c>
      <c r="G70" s="82" t="e">
        <f>IF(G$39,47.74,NA())</f>
        <v>#N/A</v>
      </c>
      <c r="H70" s="82" t="e">
        <f>IF(H$39,48.28,NA())</f>
        <v>#N/A</v>
      </c>
      <c r="I70" s="82" t="e">
        <f>IF(I$39,106.15,NA())</f>
        <v>#N/A</v>
      </c>
      <c r="J70" s="82">
        <f>IF(J$39,35.81,NA())</f>
        <v>35.81</v>
      </c>
      <c r="K70" s="82" t="e">
        <f>IF(K$39,87.81,NA())</f>
        <v>#N/A</v>
      </c>
      <c r="L70" s="82" t="e">
        <f>IF(L$39,69.37,NA())</f>
        <v>#N/A</v>
      </c>
      <c r="M70" s="82" t="e">
        <f>IF(M$39,71.97,NA())</f>
        <v>#N/A</v>
      </c>
      <c r="N70" s="82" t="e">
        <f>IF(N$39,60.37,NA())</f>
        <v>#N/A</v>
      </c>
      <c r="O70" s="82">
        <f>IF(O$39,29.01,NA())</f>
        <v>29.01</v>
      </c>
      <c r="P70" s="82" t="e">
        <f>IF(P$39,73.86,NA())</f>
        <v>#N/A</v>
      </c>
      <c r="Q70" s="82" t="e">
        <f>IF(Q$39,63.51,NA())</f>
        <v>#N/A</v>
      </c>
      <c r="R70" s="82" t="e">
        <f>IF(R$39,69.64,NA())</f>
        <v>#N/A</v>
      </c>
      <c r="S70" s="82">
        <f>IF(S$39,38.63,NA())</f>
        <v>38.630000000000003</v>
      </c>
      <c r="T70" s="82" t="e">
        <f>IF(T$39,71.42,NA())</f>
        <v>#N/A</v>
      </c>
      <c r="U70" s="82" t="e">
        <f>IF(U$39,43.05,NA())</f>
        <v>#N/A</v>
      </c>
      <c r="V70" s="82" t="e">
        <f>IF(V$39,36.27,NA())</f>
        <v>#N/A</v>
      </c>
      <c r="W70" s="82" t="e">
        <f>IF(W$39,53.56,NA())</f>
        <v>#N/A</v>
      </c>
      <c r="X70" s="82" t="e">
        <f>IF(X$39,58.76,NA())</f>
        <v>#N/A</v>
      </c>
      <c r="Y70" s="82" t="e">
        <f>IF(Y$39,78.79,NA())</f>
        <v>#N/A</v>
      </c>
      <c r="Z70" s="82">
        <f>IF(Z$39,27.08,NA())</f>
        <v>27.08</v>
      </c>
    </row>
    <row r="71" spans="1:26" x14ac:dyDescent="0.3">
      <c r="A71" s="81" t="s">
        <v>110</v>
      </c>
      <c r="B71" s="82">
        <f>IF(B$39,138.84,NA())</f>
        <v>138.84</v>
      </c>
      <c r="C71" s="82">
        <f>IF(C$39,41.37,NA())</f>
        <v>41.37</v>
      </c>
      <c r="D71" s="82">
        <f>IF(D$39,60.78,NA())</f>
        <v>60.78</v>
      </c>
      <c r="E71" s="82">
        <f>IF(E$39,47.29,NA())</f>
        <v>47.29</v>
      </c>
      <c r="F71" s="82" t="e">
        <f>NA()</f>
        <v>#N/A</v>
      </c>
      <c r="G71" s="82" t="e">
        <f>IF(G$39,47.49,NA())</f>
        <v>#N/A</v>
      </c>
      <c r="H71" s="82" t="e">
        <f>IF(H$39,44.72,NA())</f>
        <v>#N/A</v>
      </c>
      <c r="I71" s="82" t="e">
        <f>IF(I$39,105.6,NA())</f>
        <v>#N/A</v>
      </c>
      <c r="J71" s="82">
        <f>IF(J$39,35.38,NA())</f>
        <v>35.380000000000003</v>
      </c>
      <c r="K71" s="82" t="e">
        <f>IF(K$39,89.39,NA())</f>
        <v>#N/A</v>
      </c>
      <c r="L71" s="82" t="e">
        <f>IF(L$39,67.73,NA())</f>
        <v>#N/A</v>
      </c>
      <c r="M71" s="82" t="e">
        <f>IF(M$39,70.73,NA())</f>
        <v>#N/A</v>
      </c>
      <c r="N71" s="82" t="e">
        <f>IF(N$39,60.3,NA())</f>
        <v>#N/A</v>
      </c>
      <c r="O71" s="82">
        <f>IF(O$39,29.01,NA())</f>
        <v>29.01</v>
      </c>
      <c r="P71" s="82" t="e">
        <f>IF(P$39,73.14,NA())</f>
        <v>#N/A</v>
      </c>
      <c r="Q71" s="82" t="e">
        <f>IF(Q$39,63.94,NA())</f>
        <v>#N/A</v>
      </c>
      <c r="R71" s="82" t="e">
        <f>IF(R$39,70.94,NA())</f>
        <v>#N/A</v>
      </c>
      <c r="S71" s="82">
        <f>IF(S$39,39.62,NA())</f>
        <v>39.619999999999997</v>
      </c>
      <c r="T71" s="82" t="e">
        <f>IF(T$39,70.04,NA())</f>
        <v>#N/A</v>
      </c>
      <c r="U71" s="82" t="e">
        <f>IF(U$39,42.03,NA())</f>
        <v>#N/A</v>
      </c>
      <c r="V71" s="82" t="e">
        <f>IF(V$39,37.06,NA())</f>
        <v>#N/A</v>
      </c>
      <c r="W71" s="82" t="e">
        <f>IF(W$39,54.07,NA())</f>
        <v>#N/A</v>
      </c>
      <c r="X71" s="82" t="e">
        <f>IF(X$39,59.42,NA())</f>
        <v>#N/A</v>
      </c>
      <c r="Y71" s="82" t="e">
        <f>IF(Y$39,79.39,NA())</f>
        <v>#N/A</v>
      </c>
      <c r="Z71" s="82">
        <f>IF(Z$39,27.77,NA())</f>
        <v>27.77</v>
      </c>
    </row>
    <row r="72" spans="1:26" x14ac:dyDescent="0.3">
      <c r="A72" s="81" t="s">
        <v>111</v>
      </c>
      <c r="B72" s="82">
        <f>IF(B$39,134.97,NA())</f>
        <v>134.97</v>
      </c>
      <c r="C72" s="82">
        <f>IF(C$39,40.11,NA())</f>
        <v>40.11</v>
      </c>
      <c r="D72" s="82">
        <f>IF(D$39,59.21,NA())</f>
        <v>59.21</v>
      </c>
      <c r="E72" s="82">
        <f>IF(E$39,45.7,NA())</f>
        <v>45.7</v>
      </c>
      <c r="F72" s="82" t="e">
        <f>NA()</f>
        <v>#N/A</v>
      </c>
      <c r="G72" s="82" t="e">
        <f>IF(G$39,47.62,NA())</f>
        <v>#N/A</v>
      </c>
      <c r="H72" s="82" t="e">
        <f>IF(H$39,43.35,NA())</f>
        <v>#N/A</v>
      </c>
      <c r="I72" s="82" t="e">
        <f>IF(I$39,103.12,NA())</f>
        <v>#N/A</v>
      </c>
      <c r="J72" s="82">
        <f>IF(J$39,35.59,NA())</f>
        <v>35.590000000000003</v>
      </c>
      <c r="K72" s="82" t="e">
        <f>IF(K$39,91.56,NA())</f>
        <v>#N/A</v>
      </c>
      <c r="L72" s="82" t="e">
        <f>IF(L$39,63.86,NA())</f>
        <v>#N/A</v>
      </c>
      <c r="M72" s="82" t="e">
        <f>IF(M$39,71.69,NA())</f>
        <v>#N/A</v>
      </c>
      <c r="N72" s="82" t="e">
        <f>IF(N$39,61.89,NA())</f>
        <v>#N/A</v>
      </c>
      <c r="O72" s="82">
        <f>IF(O$39,29.66,NA())</f>
        <v>29.66</v>
      </c>
      <c r="P72" s="82" t="e">
        <f>IF(P$39,75.28,NA())</f>
        <v>#N/A</v>
      </c>
      <c r="Q72" s="82" t="e">
        <f>IF(Q$39,63.37,NA())</f>
        <v>#N/A</v>
      </c>
      <c r="R72" s="82" t="e">
        <f>IF(R$39,72.02,NA())</f>
        <v>#N/A</v>
      </c>
      <c r="S72" s="82">
        <f>IF(S$39,41.27,NA())</f>
        <v>41.27</v>
      </c>
      <c r="T72" s="82" t="e">
        <f>IF(T$39,72.05,NA())</f>
        <v>#N/A</v>
      </c>
      <c r="U72" s="82" t="e">
        <f>IF(U$39,41.94,NA())</f>
        <v>#N/A</v>
      </c>
      <c r="V72" s="82" t="e">
        <f>IF(V$39,39.23,NA())</f>
        <v>#N/A</v>
      </c>
      <c r="W72" s="82" t="e">
        <f>IF(W$39,55.26,NA())</f>
        <v>#N/A</v>
      </c>
      <c r="X72" s="82" t="e">
        <f>IF(X$39,60.73,NA())</f>
        <v>#N/A</v>
      </c>
      <c r="Y72" s="82" t="e">
        <f>IF(Y$39,76.37,NA())</f>
        <v>#N/A</v>
      </c>
      <c r="Z72" s="82">
        <f>IF(Z$39,27.43,NA())</f>
        <v>27.43</v>
      </c>
    </row>
    <row r="73" spans="1:26" x14ac:dyDescent="0.3">
      <c r="A73" s="81" t="s">
        <v>112</v>
      </c>
      <c r="B73" s="82">
        <f>IF(B$39,135.67,NA())</f>
        <v>135.66999999999999</v>
      </c>
      <c r="C73" s="82">
        <f>IF(C$39,39.39,NA())</f>
        <v>39.39</v>
      </c>
      <c r="D73" s="82">
        <f>IF(D$39,58.97,NA())</f>
        <v>58.97</v>
      </c>
      <c r="E73" s="82">
        <f>IF(E$39,46.1,NA())</f>
        <v>46.1</v>
      </c>
      <c r="F73" s="82" t="e">
        <f>NA()</f>
        <v>#N/A</v>
      </c>
      <c r="G73" s="82" t="e">
        <f>IF(G$39,49.25,NA())</f>
        <v>#N/A</v>
      </c>
      <c r="H73" s="82" t="e">
        <f>IF(H$39,39.92,NA())</f>
        <v>#N/A</v>
      </c>
      <c r="I73" s="82" t="e">
        <f>IF(I$39,100.91,NA())</f>
        <v>#N/A</v>
      </c>
      <c r="J73" s="82">
        <f>IF(J$39,33.36,NA())</f>
        <v>33.36</v>
      </c>
      <c r="K73" s="82" t="e">
        <f>IF(K$39,90.77,NA())</f>
        <v>#N/A</v>
      </c>
      <c r="L73" s="82" t="e">
        <f>IF(L$39,61.18,NA())</f>
        <v>#N/A</v>
      </c>
      <c r="M73" s="82" t="e">
        <f>IF(M$39,69.77,NA())</f>
        <v>#N/A</v>
      </c>
      <c r="N73" s="82" t="e">
        <f>IF(N$39,62.47,NA())</f>
        <v>#N/A</v>
      </c>
      <c r="O73" s="82">
        <f>IF(O$39,32.13,NA())</f>
        <v>32.130000000000003</v>
      </c>
      <c r="P73" s="82" t="e">
        <f>IF(P$39,74.26,NA())</f>
        <v>#N/A</v>
      </c>
      <c r="Q73" s="82" t="e">
        <f>IF(Q$39,64.36,NA())</f>
        <v>#N/A</v>
      </c>
      <c r="R73" s="82" t="e">
        <f>IF(R$39,72.45,NA())</f>
        <v>#N/A</v>
      </c>
      <c r="S73" s="82">
        <f>IF(S$39,44.9,NA())</f>
        <v>44.9</v>
      </c>
      <c r="T73" s="82" t="e">
        <f>IF(T$39,70.16,NA())</f>
        <v>#N/A</v>
      </c>
      <c r="U73" s="82" t="e">
        <f>IF(U$39,42.59,NA())</f>
        <v>#N/A</v>
      </c>
      <c r="V73" s="82" t="e">
        <f>IF(V$39,37.85,NA())</f>
        <v>#N/A</v>
      </c>
      <c r="W73" s="82" t="e">
        <f>IF(W$39,55.43,NA())</f>
        <v>#N/A</v>
      </c>
      <c r="X73" s="82" t="e">
        <f>IF(X$39,60.18,NA())</f>
        <v>#N/A</v>
      </c>
      <c r="Y73" s="82" t="e">
        <f>IF(Y$39,75.47,NA())</f>
        <v>#N/A</v>
      </c>
      <c r="Z73" s="82">
        <f>IF(Z$39,27.89,NA())</f>
        <v>27.89</v>
      </c>
    </row>
    <row r="74" spans="1:26" x14ac:dyDescent="0.3">
      <c r="A74" s="81" t="s">
        <v>113</v>
      </c>
      <c r="B74" s="82">
        <f>IF(B$39,132.86,NA())</f>
        <v>132.86000000000001</v>
      </c>
      <c r="C74" s="82">
        <f>IF(C$39,38.31,NA())</f>
        <v>38.31</v>
      </c>
      <c r="D74" s="82">
        <f>IF(D$39,58.13,NA())</f>
        <v>58.13</v>
      </c>
      <c r="E74" s="82">
        <f>IF(E$39,45.17,NA())</f>
        <v>45.17</v>
      </c>
      <c r="F74" s="82" t="e">
        <f>NA()</f>
        <v>#N/A</v>
      </c>
      <c r="G74" s="82" t="e">
        <f>IF(G$39,48.75,NA())</f>
        <v>#N/A</v>
      </c>
      <c r="H74" s="82" t="e">
        <f>IF(H$39,39.64,NA())</f>
        <v>#N/A</v>
      </c>
      <c r="I74" s="82" t="e">
        <f>IF(I$39,98.43,NA())</f>
        <v>#N/A</v>
      </c>
      <c r="J74" s="82">
        <f>IF(J$39,32.41,NA())</f>
        <v>32.409999999999997</v>
      </c>
      <c r="K74" s="82" t="e">
        <f>IF(K$39,93.34,NA())</f>
        <v>#N/A</v>
      </c>
      <c r="L74" s="82" t="e">
        <f>IF(L$39,60.29,NA())</f>
        <v>#N/A</v>
      </c>
      <c r="M74" s="82" t="e">
        <f>IF(M$39,69.91,NA())</f>
        <v>#N/A</v>
      </c>
      <c r="N74" s="82" t="e">
        <f>IF(N$39,63.41,NA())</f>
        <v>#N/A</v>
      </c>
      <c r="O74" s="82">
        <f>IF(O$39,33.16,NA())</f>
        <v>33.159999999999997</v>
      </c>
      <c r="P74" s="82" t="e">
        <f>IF(P$39,72.53,NA())</f>
        <v>#N/A</v>
      </c>
      <c r="Q74" s="82" t="e">
        <f>IF(Q$39,62.66,NA())</f>
        <v>#N/A</v>
      </c>
      <c r="R74" s="82" t="e">
        <f>IF(R$39,71.16,NA())</f>
        <v>#N/A</v>
      </c>
      <c r="S74" s="82">
        <f>IF(S$39,42.92,NA())</f>
        <v>42.92</v>
      </c>
      <c r="T74" s="82" t="e">
        <f>IF(T$39,68.9,NA())</f>
        <v>#N/A</v>
      </c>
      <c r="U74" s="82" t="e">
        <f>IF(U$39,42.96,NA())</f>
        <v>#N/A</v>
      </c>
      <c r="V74" s="82" t="e">
        <f>IF(V$39,40.02,NA())</f>
        <v>#N/A</v>
      </c>
      <c r="W74" s="82" t="e">
        <f>IF(W$39,55.26,NA())</f>
        <v>#N/A</v>
      </c>
      <c r="X74" s="82" t="e">
        <f>IF(X$39,60.51,NA())</f>
        <v>#N/A</v>
      </c>
      <c r="Y74" s="82" t="e">
        <f>IF(Y$39,78.79,NA())</f>
        <v>#N/A</v>
      </c>
      <c r="Z74" s="82">
        <f>IF(Z$39,28.7,NA())</f>
        <v>28.7</v>
      </c>
    </row>
    <row r="75" spans="1:26" x14ac:dyDescent="0.3">
      <c r="A75" s="81" t="s">
        <v>114</v>
      </c>
      <c r="B75" s="82">
        <f>IF(B$39,133.21,NA())</f>
        <v>133.21</v>
      </c>
      <c r="C75" s="82">
        <f>IF(C$39,38.49,NA())</f>
        <v>38.49</v>
      </c>
      <c r="D75" s="82">
        <f>IF(D$39,56.55,NA())</f>
        <v>56.55</v>
      </c>
      <c r="E75" s="82">
        <f>IF(E$39,44.9,NA())</f>
        <v>44.9</v>
      </c>
      <c r="F75" s="82" t="e">
        <f>NA()</f>
        <v>#N/A</v>
      </c>
      <c r="G75" s="82" t="e">
        <f>IF(G$39,48.88,NA())</f>
        <v>#N/A</v>
      </c>
      <c r="H75" s="82" t="e">
        <f>IF(H$39,40.19,NA())</f>
        <v>#N/A</v>
      </c>
      <c r="I75" s="82" t="e">
        <f>IF(I$39,98.43,NA())</f>
        <v>#N/A</v>
      </c>
      <c r="J75" s="82">
        <f>IF(J$39,33.89,NA())</f>
        <v>33.89</v>
      </c>
      <c r="K75" s="82" t="e">
        <f>IF(K$39,91.37,NA())</f>
        <v>#N/A</v>
      </c>
      <c r="L75" s="82" t="e">
        <f>IF(L$39,62.08,NA())</f>
        <v>#N/A</v>
      </c>
      <c r="M75" s="82" t="e">
        <f>IF(M$39,69.36,NA())</f>
        <v>#N/A</v>
      </c>
      <c r="N75" s="82" t="e">
        <f>IF(N$39,62.54,NA())</f>
        <v>#N/A</v>
      </c>
      <c r="O75" s="82">
        <f>IF(O$39,34.4,NA())</f>
        <v>34.4</v>
      </c>
      <c r="P75" s="82" t="e">
        <f>IF(P$39,73.25,NA())</f>
        <v>#N/A</v>
      </c>
      <c r="Q75" s="82" t="e">
        <f>IF(Q$39,65.22,NA())</f>
        <v>#N/A</v>
      </c>
      <c r="R75" s="82" t="e">
        <f>IF(R$39,71.26,NA())</f>
        <v>#N/A</v>
      </c>
      <c r="S75" s="82">
        <f>IF(S$39,41.93,NA())</f>
        <v>41.93</v>
      </c>
      <c r="T75" s="82" t="e">
        <f>IF(T$39,67.64,NA())</f>
        <v>#N/A</v>
      </c>
      <c r="U75" s="82" t="e">
        <f>IF(U$39,42.4,NA())</f>
        <v>#N/A</v>
      </c>
      <c r="V75" s="82" t="e">
        <f>IF(V$39,41.79,NA())</f>
        <v>#N/A</v>
      </c>
      <c r="W75" s="82" t="e">
        <f>IF(W$39,55.26,NA())</f>
        <v>#N/A</v>
      </c>
      <c r="X75" s="82" t="e">
        <f>IF(X$39,62.38,NA())</f>
        <v>#N/A</v>
      </c>
      <c r="Y75" s="82" t="e">
        <f>IF(Y$39,77.88,NA())</f>
        <v>#N/A</v>
      </c>
      <c r="Z75" s="82">
        <f>IF(Z$39,28.82,NA())</f>
        <v>28.82</v>
      </c>
    </row>
    <row r="76" spans="1:26" x14ac:dyDescent="0.3">
      <c r="A76" s="81" t="s">
        <v>115</v>
      </c>
      <c r="B76" s="82">
        <f>IF(B$39,138.14,NA())</f>
        <v>138.13999999999999</v>
      </c>
      <c r="C76" s="82">
        <f>IF(C$39,38.49,NA())</f>
        <v>38.49</v>
      </c>
      <c r="D76" s="82">
        <f>IF(D$39,55.71,NA())</f>
        <v>55.71</v>
      </c>
      <c r="E76" s="82">
        <f>IF(E$39,47.42,NA())</f>
        <v>47.42</v>
      </c>
      <c r="F76" s="82" t="e">
        <f>NA()</f>
        <v>#N/A</v>
      </c>
      <c r="G76" s="82" t="e">
        <f>IF(G$39,50.89,NA())</f>
        <v>#N/A</v>
      </c>
      <c r="H76" s="82" t="e">
        <f>IF(H$39,40.74,NA())</f>
        <v>#N/A</v>
      </c>
      <c r="I76" s="82" t="e">
        <f>IF(I$39,97.05,NA())</f>
        <v>#N/A</v>
      </c>
      <c r="J76" s="82">
        <f>IF(J$39,34.74,NA())</f>
        <v>34.74</v>
      </c>
      <c r="K76" s="82" t="e">
        <f>IF(K$39,90.77,NA())</f>
        <v>#N/A</v>
      </c>
      <c r="L76" s="82" t="e">
        <f>IF(L$39,64.16,NA())</f>
        <v>#N/A</v>
      </c>
      <c r="M76" s="82" t="e">
        <f>IF(M$39,70.87,NA())</f>
        <v>#N/A</v>
      </c>
      <c r="N76" s="82" t="e">
        <f>IF(N$39,62.18,NA())</f>
        <v>#N/A</v>
      </c>
      <c r="O76" s="82">
        <f>IF(O$39,36.49,NA())</f>
        <v>36.49</v>
      </c>
      <c r="P76" s="82" t="e">
        <f>IF(P$39,71.21,NA())</f>
        <v>#N/A</v>
      </c>
      <c r="Q76" s="82" t="e">
        <f>IF(Q$39,65.08,NA())</f>
        <v>#N/A</v>
      </c>
      <c r="R76" s="82" t="e">
        <f>IF(R$39,70.07,NA())</f>
        <v>#N/A</v>
      </c>
      <c r="S76" s="82">
        <f>IF(S$39,41.27,NA())</f>
        <v>41.27</v>
      </c>
      <c r="T76" s="82" t="e">
        <f>IF(T$39,68.52,NA())</f>
        <v>#N/A</v>
      </c>
      <c r="U76" s="82" t="e">
        <f>IF(U$39,43.05,NA())</f>
        <v>#N/A</v>
      </c>
      <c r="V76" s="82" t="e">
        <f>IF(V$39,42.78,NA())</f>
        <v>#N/A</v>
      </c>
      <c r="W76" s="82" t="e">
        <f>IF(W$39,54.75,NA())</f>
        <v>#N/A</v>
      </c>
      <c r="X76" s="82" t="e">
        <f>IF(X$39,62.93,NA())</f>
        <v>#N/A</v>
      </c>
      <c r="Y76" s="82" t="e">
        <f>IF(Y$39,75.77,NA())</f>
        <v>#N/A</v>
      </c>
      <c r="Z76" s="82">
        <f>IF(Z$39,29.63,NA())</f>
        <v>29.63</v>
      </c>
    </row>
    <row r="77" spans="1:26" x14ac:dyDescent="0.3">
      <c r="A77" s="81" t="s">
        <v>116</v>
      </c>
      <c r="B77" s="82">
        <f>IF(B$39,138.49,NA())</f>
        <v>138.49</v>
      </c>
      <c r="C77" s="82">
        <f>IF(C$39,38.85,NA())</f>
        <v>38.85</v>
      </c>
      <c r="D77" s="82">
        <f>IF(D$39,57.4,NA())</f>
        <v>57.4</v>
      </c>
      <c r="E77" s="82">
        <f>IF(E$39,49.55,NA())</f>
        <v>49.55</v>
      </c>
      <c r="F77" s="82" t="e">
        <f>NA()</f>
        <v>#N/A</v>
      </c>
      <c r="G77" s="82" t="e">
        <f>IF(G$39,53.78,NA())</f>
        <v>#N/A</v>
      </c>
      <c r="H77" s="82" t="e">
        <f>IF(H$39,41.01,NA())</f>
        <v>#N/A</v>
      </c>
      <c r="I77" s="82" t="e">
        <f>IF(I$39,98.98,NA())</f>
        <v>#N/A</v>
      </c>
      <c r="J77" s="82">
        <f>IF(J$39,37.19,NA())</f>
        <v>37.19</v>
      </c>
      <c r="K77" s="82" t="e">
        <f>IF(K$39,90.77,NA())</f>
        <v>#N/A</v>
      </c>
      <c r="L77" s="82" t="e">
        <f>IF(L$39,63.57,NA())</f>
        <v>#N/A</v>
      </c>
      <c r="M77" s="82" t="e">
        <f>IF(M$39,73.89,NA())</f>
        <v>#N/A</v>
      </c>
      <c r="N77" s="82" t="e">
        <f>IF(N$39,63.05,NA())</f>
        <v>#N/A</v>
      </c>
      <c r="O77" s="82">
        <f>IF(O$39,39.1,NA())</f>
        <v>39.1</v>
      </c>
      <c r="P77" s="82" t="e">
        <f>IF(P$39,71.21,NA())</f>
        <v>#N/A</v>
      </c>
      <c r="Q77" s="82" t="e">
        <f>IF(Q$39,64.22,NA())</f>
        <v>#N/A</v>
      </c>
      <c r="R77" s="82" t="e">
        <f>IF(R$39,69.86,NA())</f>
        <v>#N/A</v>
      </c>
      <c r="S77" s="82">
        <f>IF(S$39,42.26,NA())</f>
        <v>42.26</v>
      </c>
      <c r="T77" s="82" t="e">
        <f>IF(T$39,66,NA())</f>
        <v>#N/A</v>
      </c>
      <c r="U77" s="82" t="e">
        <f>IF(U$39,42.68,NA())</f>
        <v>#N/A</v>
      </c>
      <c r="V77" s="82" t="e">
        <f>IF(V$39,41.4,NA())</f>
        <v>#N/A</v>
      </c>
      <c r="W77" s="82" t="e">
        <f>IF(W$39,55.09,NA())</f>
        <v>#N/A</v>
      </c>
      <c r="X77" s="82" t="e">
        <f>IF(X$39,64.25,NA())</f>
        <v>#N/A</v>
      </c>
      <c r="Y77" s="82" t="e">
        <f>IF(Y$39,73.35,NA())</f>
        <v>#N/A</v>
      </c>
      <c r="Z77" s="82">
        <f>IF(Z$39,31.01,NA())</f>
        <v>31.01</v>
      </c>
    </row>
    <row r="78" spans="1:26" x14ac:dyDescent="0.3">
      <c r="A78" s="81" t="s">
        <v>117</v>
      </c>
      <c r="B78" s="82">
        <f>IF(B$39,136.38,NA())</f>
        <v>136.38</v>
      </c>
      <c r="C78" s="82">
        <f>IF(C$39,39.57,NA())</f>
        <v>39.57</v>
      </c>
      <c r="D78" s="82">
        <f>IF(D$39,60.54,NA())</f>
        <v>60.54</v>
      </c>
      <c r="E78" s="82">
        <f>IF(E$39,49.55,NA())</f>
        <v>49.55</v>
      </c>
      <c r="F78" s="82" t="e">
        <f>NA()</f>
        <v>#N/A</v>
      </c>
      <c r="G78" s="82" t="e">
        <f>IF(G$39,55.03,NA())</f>
        <v>#N/A</v>
      </c>
      <c r="H78" s="82" t="e">
        <f>IF(H$39,40.47,NA())</f>
        <v>#N/A</v>
      </c>
      <c r="I78" s="82" t="e">
        <f>IF(I$39,100.91,NA())</f>
        <v>#N/A</v>
      </c>
      <c r="J78" s="82">
        <f>IF(J$39,37.83,NA())</f>
        <v>37.83</v>
      </c>
      <c r="K78" s="82" t="e">
        <f>IF(K$39,93.73,NA())</f>
        <v>#N/A</v>
      </c>
      <c r="L78" s="82" t="e">
        <f>IF(L$39,62.52,NA())</f>
        <v>#N/A</v>
      </c>
      <c r="M78" s="82" t="e">
        <f>IF(M$39,73.61,NA())</f>
        <v>#N/A</v>
      </c>
      <c r="N78" s="82" t="e">
        <f>IF(N$39,63.7,NA())</f>
        <v>#N/A</v>
      </c>
      <c r="O78" s="82">
        <f>IF(O$39,41.53,NA())</f>
        <v>41.53</v>
      </c>
      <c r="P78" s="82" t="e">
        <f>IF(P$39,71.11,NA())</f>
        <v>#N/A</v>
      </c>
      <c r="Q78" s="82" t="e">
        <f>IF(Q$39,64.08,NA())</f>
        <v>#N/A</v>
      </c>
      <c r="R78" s="82" t="e">
        <f>IF(R$39,68.99,NA())</f>
        <v>#N/A</v>
      </c>
      <c r="S78" s="82">
        <f>IF(S$39,42.26,NA())</f>
        <v>42.26</v>
      </c>
      <c r="T78" s="82" t="e">
        <f>IF(T$39,66.38,NA())</f>
        <v>#N/A</v>
      </c>
      <c r="U78" s="82" t="e">
        <f>IF(U$39,44.16,NA())</f>
        <v>#N/A</v>
      </c>
      <c r="V78" s="82" t="e">
        <f>IF(V$39,42.78,NA())</f>
        <v>#N/A</v>
      </c>
      <c r="W78" s="82" t="e">
        <f>IF(W$39,54.41,NA())</f>
        <v>#N/A</v>
      </c>
      <c r="X78" s="82" t="e">
        <f>IF(X$39,64.47,NA())</f>
        <v>#N/A</v>
      </c>
      <c r="Y78" s="82" t="e">
        <f>IF(Y$39,71.24,NA())</f>
        <v>#N/A</v>
      </c>
      <c r="Z78" s="82">
        <f>IF(Z$39,32.52,NA())</f>
        <v>32.520000000000003</v>
      </c>
    </row>
    <row r="79" spans="1:26" x14ac:dyDescent="0.3">
      <c r="A79" s="81" t="s">
        <v>118</v>
      </c>
      <c r="B79" s="82">
        <f>IF(B$39,136.73,NA())</f>
        <v>136.72999999999999</v>
      </c>
      <c r="C79" s="82">
        <f>IF(C$39,40.11,NA())</f>
        <v>40.11</v>
      </c>
      <c r="D79" s="82">
        <f>IF(D$39,59.33,NA())</f>
        <v>59.33</v>
      </c>
      <c r="E79" s="82">
        <f>IF(E$39,49.42,NA())</f>
        <v>49.42</v>
      </c>
      <c r="F79" s="82" t="e">
        <f>NA()</f>
        <v>#N/A</v>
      </c>
      <c r="G79" s="82" t="e">
        <f>IF(G$39,55.79,NA())</f>
        <v>#N/A</v>
      </c>
      <c r="H79" s="82" t="e">
        <f>IF(H$39,41.01,NA())</f>
        <v>#N/A</v>
      </c>
      <c r="I79" s="82" t="e">
        <f>IF(I$39,99.81,NA())</f>
        <v>#N/A</v>
      </c>
      <c r="J79" s="82">
        <f>IF(J$39,38.14,NA())</f>
        <v>38.14</v>
      </c>
      <c r="K79" s="82" t="e">
        <f>IF(K$39,93.14,NA())</f>
        <v>#N/A</v>
      </c>
      <c r="L79" s="82" t="e">
        <f>IF(L$39,60.59,NA())</f>
        <v>#N/A</v>
      </c>
      <c r="M79" s="82" t="e">
        <f>IF(M$39,72.1,NA())</f>
        <v>#N/A</v>
      </c>
      <c r="N79" s="82" t="e">
        <f>IF(N$39,63.84,NA())</f>
        <v>#N/A</v>
      </c>
      <c r="O79" s="82">
        <f>IF(O$39,42.65,NA())</f>
        <v>42.65</v>
      </c>
      <c r="P79" s="82" t="e">
        <f>IF(P$39,69.68,NA())</f>
        <v>#N/A</v>
      </c>
      <c r="Q79" s="82" t="e">
        <f>IF(Q$39,63.79,NA())</f>
        <v>#N/A</v>
      </c>
      <c r="R79" s="82" t="e">
        <f>IF(R$39,67.05,NA())</f>
        <v>#N/A</v>
      </c>
      <c r="S79" s="82">
        <f>IF(S$39,41.93,NA())</f>
        <v>41.93</v>
      </c>
      <c r="T79" s="82" t="e">
        <f>IF(T$39,68.02,NA())</f>
        <v>#N/A</v>
      </c>
      <c r="U79" s="82" t="e">
        <f>IF(U$39,43.23,NA())</f>
        <v>#N/A</v>
      </c>
      <c r="V79" s="82" t="e">
        <f>IF(V$39,43.37,NA())</f>
        <v>#N/A</v>
      </c>
      <c r="W79" s="82" t="e">
        <f>IF(W$39,54.75,NA())</f>
        <v>#N/A</v>
      </c>
      <c r="X79" s="82" t="e">
        <f>IF(X$39,64.25,NA())</f>
        <v>#N/A</v>
      </c>
      <c r="Y79" s="82" t="e">
        <f>IF(Y$39,67.01,NA())</f>
        <v>#N/A</v>
      </c>
      <c r="Z79" s="82">
        <f>IF(Z$39,33.44,NA())</f>
        <v>33.44</v>
      </c>
    </row>
    <row r="80" spans="1:26" x14ac:dyDescent="0.3">
      <c r="A80" s="81" t="s">
        <v>119</v>
      </c>
      <c r="B80" s="82">
        <f>IF(B$39,136.38,NA())</f>
        <v>136.38</v>
      </c>
      <c r="C80" s="82">
        <f>IF(C$39,39.39,NA())</f>
        <v>39.39</v>
      </c>
      <c r="D80" s="82">
        <f>IF(D$39,61.27,NA())</f>
        <v>61.27</v>
      </c>
      <c r="E80" s="82">
        <f>IF(E$39,50.08,NA())</f>
        <v>50.08</v>
      </c>
      <c r="F80" s="82" t="e">
        <f>NA()</f>
        <v>#N/A</v>
      </c>
      <c r="G80" s="82" t="e">
        <f>IF(G$39,59.43,NA())</f>
        <v>#N/A</v>
      </c>
      <c r="H80" s="82" t="e">
        <f>IF(H$39,40.47,NA())</f>
        <v>#N/A</v>
      </c>
      <c r="I80" s="82" t="e">
        <f>IF(I$39,100.36,NA())</f>
        <v>#N/A</v>
      </c>
      <c r="J80" s="82">
        <f>IF(J$39,39.21,NA())</f>
        <v>39.21</v>
      </c>
      <c r="K80" s="82" t="e">
        <f>IF(K$39,93.54,NA())</f>
        <v>#N/A</v>
      </c>
      <c r="L80" s="82" t="e">
        <f>IF(L$39,59.7,NA())</f>
        <v>#N/A</v>
      </c>
      <c r="M80" s="82" t="e">
        <f>IF(M$39,70.18,NA())</f>
        <v>#N/A</v>
      </c>
      <c r="N80" s="82" t="e">
        <f>IF(N$39,63.41,NA())</f>
        <v>#N/A</v>
      </c>
      <c r="O80" s="82" t="e">
        <f>NA()</f>
        <v>#N/A</v>
      </c>
      <c r="P80" s="82" t="e">
        <f>IF(P$39,67.44,NA())</f>
        <v>#N/A</v>
      </c>
      <c r="Q80" s="82" t="e">
        <f>IF(Q$39,65.36,NA())</f>
        <v>#N/A</v>
      </c>
      <c r="R80" s="82" t="e">
        <f>IF(R$39,67.48,NA())</f>
        <v>#N/A</v>
      </c>
      <c r="S80" s="82">
        <f>IF(S$39,41.27,NA())</f>
        <v>41.27</v>
      </c>
      <c r="T80" s="82" t="e">
        <f>IF(T$39,67.77,NA())</f>
        <v>#N/A</v>
      </c>
      <c r="U80" s="82" t="e">
        <f>IF(U$39,42.68,NA())</f>
        <v>#N/A</v>
      </c>
      <c r="V80" s="82" t="e">
        <f>IF(V$39,48.69,NA())</f>
        <v>#N/A</v>
      </c>
      <c r="W80" s="82" t="e">
        <f>IF(W$39,55.43,NA())</f>
        <v>#N/A</v>
      </c>
      <c r="X80" s="82" t="e">
        <f>IF(X$39,64.69,NA())</f>
        <v>#N/A</v>
      </c>
      <c r="Y80" s="82" t="e">
        <f>IF(Y$39,64.3,NA())</f>
        <v>#N/A</v>
      </c>
      <c r="Z80" s="82">
        <f>IF(Z$39,33.21,NA())</f>
        <v>33.21</v>
      </c>
    </row>
    <row r="81" spans="1:26" x14ac:dyDescent="0.3">
      <c r="A81" s="81" t="s">
        <v>120</v>
      </c>
      <c r="B81" s="82">
        <f>IF(B$39,140.43,NA())</f>
        <v>140.43</v>
      </c>
      <c r="C81" s="82">
        <f>IF(C$39,39.93,NA())</f>
        <v>39.93</v>
      </c>
      <c r="D81" s="82">
        <f>IF(D$39,63.44,NA())</f>
        <v>63.44</v>
      </c>
      <c r="E81" s="82">
        <f>IF(E$39,51.68,NA())</f>
        <v>51.68</v>
      </c>
      <c r="F81" s="82" t="e">
        <f>NA()</f>
        <v>#N/A</v>
      </c>
      <c r="G81" s="82" t="e">
        <f>IF(G$39,60.31,NA())</f>
        <v>#N/A</v>
      </c>
      <c r="H81" s="82" t="e">
        <f>IF(H$39,40.88,NA())</f>
        <v>#N/A</v>
      </c>
      <c r="I81" s="82" t="e">
        <f>IF(I$39,100.36,NA())</f>
        <v>#N/A</v>
      </c>
      <c r="J81" s="82">
        <f>IF(J$39,40.48,NA())</f>
        <v>40.479999999999997</v>
      </c>
      <c r="K81" s="82" t="e">
        <f>IF(K$39,92.75,NA())</f>
        <v>#N/A</v>
      </c>
      <c r="L81" s="82" t="e">
        <f>IF(L$39,59.1,NA())</f>
        <v>#N/A</v>
      </c>
      <c r="M81" s="82" t="e">
        <f>IF(M$39,72.65,NA())</f>
        <v>#N/A</v>
      </c>
      <c r="N81" s="82" t="e">
        <f>IF(N$39,64.13,NA())</f>
        <v>#N/A</v>
      </c>
      <c r="O81" s="82" t="e">
        <f>NA()</f>
        <v>#N/A</v>
      </c>
      <c r="P81" s="82" t="e">
        <f>IF(P$39,66.42,NA())</f>
        <v>#N/A</v>
      </c>
      <c r="Q81" s="82" t="e">
        <f>IF(Q$39,64.93,NA())</f>
        <v>#N/A</v>
      </c>
      <c r="R81" s="82" t="e">
        <f>IF(R$39,67.15,NA())</f>
        <v>#N/A</v>
      </c>
      <c r="S81" s="82">
        <f>IF(S$39,40.94,NA())</f>
        <v>40.94</v>
      </c>
      <c r="T81" s="82" t="e">
        <f>IF(T$39,68.9,NA())</f>
        <v>#N/A</v>
      </c>
      <c r="U81" s="82" t="e">
        <f>IF(U$39,43.05,NA())</f>
        <v>#N/A</v>
      </c>
      <c r="V81" s="82" t="e">
        <f>IF(V$39,50.47,NA())</f>
        <v>#N/A</v>
      </c>
      <c r="W81" s="82" t="e">
        <f>IF(W$39,55.6,NA())</f>
        <v>#N/A</v>
      </c>
      <c r="X81" s="82" t="e">
        <f>IF(X$39,64.25,NA())</f>
        <v>#N/A</v>
      </c>
      <c r="Y81" s="82" t="e">
        <f>IF(Y$39,64,NA())</f>
        <v>#N/A</v>
      </c>
      <c r="Z81" s="82">
        <f>IF(Z$39,35.53,NA())</f>
        <v>35.53</v>
      </c>
    </row>
    <row r="82" spans="1:26" x14ac:dyDescent="0.3">
      <c r="A82" s="81" t="s">
        <v>121</v>
      </c>
      <c r="B82" s="82">
        <f>IF(B$39,142.36,NA())</f>
        <v>142.36000000000001</v>
      </c>
      <c r="C82" s="82">
        <f>IF(C$39,40.11,NA())</f>
        <v>40.11</v>
      </c>
      <c r="D82" s="82">
        <f>IF(D$39,67.19,NA())</f>
        <v>67.19</v>
      </c>
      <c r="E82" s="82">
        <f>IF(E$39,51.81,NA())</f>
        <v>51.81</v>
      </c>
      <c r="F82" s="82" t="e">
        <f>NA()</f>
        <v>#N/A</v>
      </c>
      <c r="G82" s="82" t="e">
        <f>IF(G$39,63.07,NA())</f>
        <v>#N/A</v>
      </c>
      <c r="H82" s="82" t="e">
        <f>IF(H$39,41.7,NA())</f>
        <v>#N/A</v>
      </c>
      <c r="I82" s="82" t="e">
        <f>IF(I$39,100.36,NA())</f>
        <v>#N/A</v>
      </c>
      <c r="J82" s="82">
        <f>IF(J$39,43.03,NA())</f>
        <v>43.03</v>
      </c>
      <c r="K82" s="82" t="e">
        <f>IF(K$39,94.13,NA())</f>
        <v>#N/A</v>
      </c>
      <c r="L82" s="82" t="e">
        <f>IF(L$39,57.91,NA())</f>
        <v>#N/A</v>
      </c>
      <c r="M82" s="82" t="e">
        <f>IF(M$39,71.69,NA())</f>
        <v>#N/A</v>
      </c>
      <c r="N82" s="82" t="e">
        <f>IF(N$39,63.41,NA())</f>
        <v>#N/A</v>
      </c>
      <c r="O82" s="82" t="e">
        <f>NA()</f>
        <v>#N/A</v>
      </c>
      <c r="P82" s="82" t="e">
        <f>IF(P$39,66.32,NA())</f>
        <v>#N/A</v>
      </c>
      <c r="Q82" s="82" t="e">
        <f>IF(Q$39,64.79,NA())</f>
        <v>#N/A</v>
      </c>
      <c r="R82" s="82" t="e">
        <f>IF(R$39,68.34,NA())</f>
        <v>#N/A</v>
      </c>
      <c r="S82" s="82">
        <f>IF(S$39,39.29,NA())</f>
        <v>39.29</v>
      </c>
      <c r="T82" s="82" t="e">
        <f>IF(T$39,68.52,NA())</f>
        <v>#N/A</v>
      </c>
      <c r="U82" s="82" t="e">
        <f>IF(U$39,42.68,NA())</f>
        <v>#N/A</v>
      </c>
      <c r="V82" s="82" t="e">
        <f>IF(V$39,51.06,NA())</f>
        <v>#N/A</v>
      </c>
      <c r="W82" s="82" t="e">
        <f>IF(W$39,52.54,NA())</f>
        <v>#N/A</v>
      </c>
      <c r="X82" s="82" t="e">
        <f>IF(X$39,65.13,NA())</f>
        <v>#N/A</v>
      </c>
      <c r="Y82" s="82" t="e">
        <f>IF(Y$39,61.58,NA())</f>
        <v>#N/A</v>
      </c>
      <c r="Z82" s="82">
        <f>IF(Z$39,36.57,NA())</f>
        <v>36.57</v>
      </c>
    </row>
    <row r="83" spans="1:26" x14ac:dyDescent="0.3">
      <c r="A83" s="81" t="s">
        <v>122</v>
      </c>
      <c r="B83" s="82">
        <f>IF(B$39,144.47,NA())</f>
        <v>144.47</v>
      </c>
      <c r="C83" s="82">
        <f>IF(C$39,40.29,NA())</f>
        <v>40.29</v>
      </c>
      <c r="D83" s="82">
        <f>IF(D$39,67.67,NA())</f>
        <v>67.67</v>
      </c>
      <c r="E83" s="82">
        <f>IF(E$39,53.67,NA())</f>
        <v>53.67</v>
      </c>
      <c r="F83" s="82" t="e">
        <f>NA()</f>
        <v>#N/A</v>
      </c>
      <c r="G83" s="82" t="e">
        <f>IF(G$39,67.85,NA())</f>
        <v>#N/A</v>
      </c>
      <c r="H83" s="82" t="e">
        <f>IF(H$39,42.52,NA())</f>
        <v>#N/A</v>
      </c>
      <c r="I83" s="82" t="e">
        <f>IF(I$39,103.12,NA())</f>
        <v>#N/A</v>
      </c>
      <c r="J83" s="82">
        <f>IF(J$39,45.26,NA())</f>
        <v>45.26</v>
      </c>
      <c r="K83" s="82" t="e">
        <f>IF(K$39,93.14,NA())</f>
        <v>#N/A</v>
      </c>
      <c r="L83" s="82" t="e">
        <f>IF(L$39,58.8,NA())</f>
        <v>#N/A</v>
      </c>
      <c r="M83" s="82" t="e">
        <f>IF(M$39,74.43,NA())</f>
        <v>#N/A</v>
      </c>
      <c r="N83" s="82" t="e">
        <f>IF(N$39,64.71,NA())</f>
        <v>#N/A</v>
      </c>
      <c r="O83" s="82" t="e">
        <f>NA()</f>
        <v>#N/A</v>
      </c>
      <c r="P83" s="82" t="e">
        <f>IF(P$39,66.52,NA())</f>
        <v>#N/A</v>
      </c>
      <c r="Q83" s="82" t="e">
        <f>IF(Q$39,64.22,NA())</f>
        <v>#N/A</v>
      </c>
      <c r="R83" s="82" t="e">
        <f>IF(R$39,68.02,NA())</f>
        <v>#N/A</v>
      </c>
      <c r="S83" s="82">
        <f>IF(S$39,40.28,NA())</f>
        <v>40.28</v>
      </c>
      <c r="T83" s="82" t="e">
        <f>IF(T$39,67.39,NA())</f>
        <v>#N/A</v>
      </c>
      <c r="U83" s="82" t="e">
        <f>IF(U$39,43.14,NA())</f>
        <v>#N/A</v>
      </c>
      <c r="V83" s="82" t="e">
        <f>IF(V$39,49.87,NA())</f>
        <v>#N/A</v>
      </c>
      <c r="W83" s="82" t="e">
        <f>IF(W$39,51.52,NA())</f>
        <v>#N/A</v>
      </c>
      <c r="X83" s="82" t="e">
        <f>IF(X$39,63.92,NA())</f>
        <v>#N/A</v>
      </c>
      <c r="Y83" s="82" t="e">
        <f>IF(Y$39,60.67,NA())</f>
        <v>#N/A</v>
      </c>
      <c r="Z83" s="82">
        <f>IF(Z$39,35.99,NA())</f>
        <v>35.99</v>
      </c>
    </row>
    <row r="84" spans="1:26" x14ac:dyDescent="0.3">
      <c r="A84" s="81" t="s">
        <v>123</v>
      </c>
      <c r="B84" s="82">
        <f>IF(B$39,147.99,NA())</f>
        <v>147.99</v>
      </c>
      <c r="C84" s="82">
        <f>IF(C$39,41.73,NA())</f>
        <v>41.73</v>
      </c>
      <c r="D84" s="82">
        <f>IF(D$39,70.69,NA())</f>
        <v>70.69</v>
      </c>
      <c r="E84" s="82">
        <f>IF(E$39,54.33,NA())</f>
        <v>54.33</v>
      </c>
      <c r="F84" s="82" t="e">
        <f>NA()</f>
        <v>#N/A</v>
      </c>
      <c r="G84" s="82" t="e">
        <f>IF(G$39,71.37,NA())</f>
        <v>#N/A</v>
      </c>
      <c r="H84" s="82" t="e">
        <f>IF(H$39,43.07,NA())</f>
        <v>#N/A</v>
      </c>
      <c r="I84" s="82" t="e">
        <f>IF(I$39,104.22,NA())</f>
        <v>#N/A</v>
      </c>
      <c r="J84" s="82">
        <f>IF(J$39,45.48,NA())</f>
        <v>45.48</v>
      </c>
      <c r="K84" s="82" t="e">
        <f>IF(K$39,90.18,NA())</f>
        <v>#N/A</v>
      </c>
      <c r="L84" s="82" t="e">
        <f>IF(L$39,61.18,NA())</f>
        <v>#N/A</v>
      </c>
      <c r="M84" s="82" t="e">
        <f>IF(M$39,73.2,NA())</f>
        <v>#N/A</v>
      </c>
      <c r="N84" s="82" t="e">
        <f>IF(N$39,64.56,NA())</f>
        <v>#N/A</v>
      </c>
      <c r="O84" s="82" t="e">
        <f>NA()</f>
        <v>#N/A</v>
      </c>
      <c r="P84" s="82" t="e">
        <f>IF(P$39,64.89,NA())</f>
        <v>#N/A</v>
      </c>
      <c r="Q84" s="82" t="e">
        <f>IF(Q$39,63.23,NA())</f>
        <v>#N/A</v>
      </c>
      <c r="R84" s="82" t="e">
        <f>IF(R$39,68.45,NA())</f>
        <v>#N/A</v>
      </c>
      <c r="S84" s="82">
        <f>IF(S$39,39.62,NA())</f>
        <v>39.619999999999997</v>
      </c>
      <c r="T84" s="82" t="e">
        <f>IF(T$39,64.75,NA())</f>
        <v>#N/A</v>
      </c>
      <c r="U84" s="82" t="e">
        <f>IF(U$39,44.44,NA())</f>
        <v>#N/A</v>
      </c>
      <c r="V84" s="82" t="e">
        <f>IF(V$39,49.48,NA())</f>
        <v>#N/A</v>
      </c>
      <c r="W84" s="82" t="e">
        <f>IF(W$39,52.37,NA())</f>
        <v>#N/A</v>
      </c>
      <c r="X84" s="82" t="e">
        <f>IF(X$39,61.5,NA())</f>
        <v>#N/A</v>
      </c>
      <c r="Y84" s="82" t="e">
        <f>IF(Y$39,62.49,NA())</f>
        <v>#N/A</v>
      </c>
      <c r="Z84" s="82">
        <f>IF(Z$39,37.96,NA())</f>
        <v>37.96</v>
      </c>
    </row>
    <row r="85" spans="1:26" x14ac:dyDescent="0.3">
      <c r="A85" s="81" t="s">
        <v>124</v>
      </c>
      <c r="B85" s="82">
        <f>IF(B$39,145.71,NA())</f>
        <v>145.71</v>
      </c>
      <c r="C85" s="82">
        <f>IF(C$39,42.45,NA())</f>
        <v>42.45</v>
      </c>
      <c r="D85" s="82">
        <f>IF(D$39,74.08,NA())</f>
        <v>74.08</v>
      </c>
      <c r="E85" s="82">
        <f>IF(E$39,55.79,NA())</f>
        <v>55.79</v>
      </c>
      <c r="F85" s="82" t="e">
        <f>NA()</f>
        <v>#N/A</v>
      </c>
      <c r="G85" s="82" t="e">
        <f>IF(G$39,74.26,NA())</f>
        <v>#N/A</v>
      </c>
      <c r="H85" s="82" t="e">
        <f>IF(H$39,45.27,NA())</f>
        <v>#N/A</v>
      </c>
      <c r="I85" s="82" t="e">
        <f>IF(I$39,107.25,NA())</f>
        <v>#N/A</v>
      </c>
      <c r="J85" s="82">
        <f>IF(J$39,46.96,NA())</f>
        <v>46.96</v>
      </c>
      <c r="K85" s="82" t="e">
        <f>IF(K$39,89.99,NA())</f>
        <v>#N/A</v>
      </c>
      <c r="L85" s="82" t="e">
        <f>IF(L$39,62.82,NA())</f>
        <v>#N/A</v>
      </c>
      <c r="M85" s="82" t="e">
        <f>IF(M$39,76.76,NA())</f>
        <v>#N/A</v>
      </c>
      <c r="N85" s="82" t="e">
        <f>IF(N$39,64.99,NA())</f>
        <v>#N/A</v>
      </c>
      <c r="O85" s="82" t="e">
        <f>NA()</f>
        <v>#N/A</v>
      </c>
      <c r="P85" s="82" t="e">
        <f>IF(P$39,65.3,NA())</f>
        <v>#N/A</v>
      </c>
      <c r="Q85" s="82" t="e">
        <f>IF(Q$39,63.23,NA())</f>
        <v>#N/A</v>
      </c>
      <c r="R85" s="82" t="e">
        <f>IF(R$39,68.67,NA())</f>
        <v>#N/A</v>
      </c>
      <c r="S85" s="82">
        <f>IF(S$39,37.63,NA())</f>
        <v>37.630000000000003</v>
      </c>
      <c r="T85" s="82" t="e">
        <f>IF(T$39,64.49,NA())</f>
        <v>#N/A</v>
      </c>
      <c r="U85" s="82" t="e">
        <f>IF(U$39,45.83,NA())</f>
        <v>#N/A</v>
      </c>
      <c r="V85" s="82" t="e">
        <f>IF(V$39,53.42,NA())</f>
        <v>#N/A</v>
      </c>
      <c r="W85" s="82" t="e">
        <f>IF(W$39,52.03,NA())</f>
        <v>#N/A</v>
      </c>
      <c r="X85" s="82" t="e">
        <f>IF(X$39,61.5,NA())</f>
        <v>#N/A</v>
      </c>
      <c r="Y85" s="82" t="e">
        <f>IF(Y$39,61.88,NA())</f>
        <v>#N/A</v>
      </c>
      <c r="Z85" s="82">
        <f>IF(Z$39,38.19,NA())</f>
        <v>38.19</v>
      </c>
    </row>
    <row r="86" spans="1:26" x14ac:dyDescent="0.3">
      <c r="A86" s="81" t="s">
        <v>125</v>
      </c>
      <c r="B86" s="82">
        <f>IF(B$39,147.99,NA())</f>
        <v>147.99</v>
      </c>
      <c r="C86" s="82">
        <f>IF(C$39,42.99,NA())</f>
        <v>42.99</v>
      </c>
      <c r="D86" s="82">
        <f>IF(D$39,74.56,NA())</f>
        <v>74.56</v>
      </c>
      <c r="E86" s="82">
        <f>IF(E$39,57.65,NA())</f>
        <v>57.65</v>
      </c>
      <c r="F86" s="82" t="e">
        <f>NA()</f>
        <v>#N/A</v>
      </c>
      <c r="G86" s="82" t="e">
        <f>IF(G$39,77.52,NA())</f>
        <v>#N/A</v>
      </c>
      <c r="H86" s="82" t="e">
        <f>IF(H$39,45.27,NA())</f>
        <v>#N/A</v>
      </c>
      <c r="I86" s="82" t="e">
        <f>IF(I$39,108.35,NA())</f>
        <v>#N/A</v>
      </c>
      <c r="J86" s="82">
        <f>IF(J$39,49.09,NA())</f>
        <v>49.09</v>
      </c>
      <c r="K86" s="82" t="e">
        <f>IF(K$39,86.43,NA())</f>
        <v>#N/A</v>
      </c>
      <c r="L86" s="82" t="e">
        <f>IF(L$39,62.23,NA())</f>
        <v>#N/A</v>
      </c>
      <c r="M86" s="82" t="e">
        <f>IF(M$39,77.18,NA())</f>
        <v>#N/A</v>
      </c>
      <c r="N86" s="82" t="e">
        <f>IF(N$39,63.7,NA())</f>
        <v>#N/A</v>
      </c>
      <c r="O86" s="82" t="e">
        <f>NA()</f>
        <v>#N/A</v>
      </c>
      <c r="P86" s="82" t="e">
        <f>IF(P$39,63.67,NA())</f>
        <v>#N/A</v>
      </c>
      <c r="Q86" s="82" t="e">
        <f>IF(Q$39,63.08,NA())</f>
        <v>#N/A</v>
      </c>
      <c r="R86" s="82" t="e">
        <f>IF(R$39,70.07,NA())</f>
        <v>#N/A</v>
      </c>
      <c r="S86" s="82">
        <f>IF(S$39,39.29,NA())</f>
        <v>39.29</v>
      </c>
      <c r="T86" s="82" t="e">
        <f>IF(T$39,64.87,NA())</f>
        <v>#N/A</v>
      </c>
      <c r="U86" s="82" t="e">
        <f>IF(U$39,45.09,NA())</f>
        <v>#N/A</v>
      </c>
      <c r="V86" s="82" t="e">
        <f>IF(V$39,52.24,NA())</f>
        <v>#N/A</v>
      </c>
      <c r="W86" s="82" t="e">
        <f>IF(W$39,51.35,NA())</f>
        <v>#N/A</v>
      </c>
      <c r="X86" s="82" t="e">
        <f>IF(X$39,61.83,NA())</f>
        <v>#N/A</v>
      </c>
      <c r="Y86" s="82" t="e">
        <f>IF(Y$39,58.86,NA())</f>
        <v>#N/A</v>
      </c>
      <c r="Z86" s="82">
        <f>IF(Z$39,37.5,NA())</f>
        <v>37.5</v>
      </c>
    </row>
    <row r="87" spans="1:26" x14ac:dyDescent="0.3">
      <c r="A87" s="81" t="s">
        <v>126</v>
      </c>
      <c r="B87" s="82">
        <f>IF(B$39,151.86,NA())</f>
        <v>151.86000000000001</v>
      </c>
      <c r="C87" s="82">
        <f>IF(C$39,41.01,NA())</f>
        <v>41.01</v>
      </c>
      <c r="D87" s="82">
        <f>IF(D$39,76.73,NA())</f>
        <v>76.73</v>
      </c>
      <c r="E87" s="82">
        <f>IF(E$39,59.25,NA())</f>
        <v>59.25</v>
      </c>
      <c r="F87" s="82" t="e">
        <f>NA()</f>
        <v>#N/A</v>
      </c>
      <c r="G87" s="82" t="e">
        <f>IF(G$39,81.67,NA())</f>
        <v>#N/A</v>
      </c>
      <c r="H87" s="82" t="e">
        <f>IF(H$39,45.81,NA())</f>
        <v>#N/A</v>
      </c>
      <c r="I87" s="82" t="e">
        <f>IF(I$39,106.7,NA())</f>
        <v>#N/A</v>
      </c>
      <c r="J87" s="82">
        <f>IF(J$39,49.41,NA())</f>
        <v>49.41</v>
      </c>
      <c r="K87" s="82" t="e">
        <f>IF(K$39,85.64,NA())</f>
        <v>#N/A</v>
      </c>
      <c r="L87" s="82" t="e">
        <f>IF(L$39,60.89,NA())</f>
        <v>#N/A</v>
      </c>
      <c r="M87" s="82" t="e">
        <f>IF(M$39,76.63,NA())</f>
        <v>#N/A</v>
      </c>
      <c r="N87" s="82" t="e">
        <f>IF(N$39,65.07,NA())</f>
        <v>#N/A</v>
      </c>
      <c r="O87" s="82" t="e">
        <f>NA()</f>
        <v>#N/A</v>
      </c>
      <c r="P87" s="82" t="e">
        <f>IF(P$39,61.02,NA())</f>
        <v>#N/A</v>
      </c>
      <c r="Q87" s="82" t="e">
        <f>IF(Q$39,61.23,NA())</f>
        <v>#N/A</v>
      </c>
      <c r="R87" s="82" t="e">
        <f>IF(R$39,69.1,NA())</f>
        <v>#N/A</v>
      </c>
      <c r="S87" s="82">
        <f>IF(S$39,40.28,NA())</f>
        <v>40.28</v>
      </c>
      <c r="T87" s="82" t="e">
        <f>IF(T$39,63.23,NA())</f>
        <v>#N/A</v>
      </c>
      <c r="U87" s="82" t="e">
        <f>IF(U$39,45.18,NA())</f>
        <v>#N/A</v>
      </c>
      <c r="V87" s="82" t="e">
        <f>IF(V$39,52.83,NA())</f>
        <v>#N/A</v>
      </c>
      <c r="W87" s="82" t="e">
        <f>IF(W$39,50.16,NA())</f>
        <v>#N/A</v>
      </c>
      <c r="X87" s="82" t="e">
        <f>IF(X$39,60.73,NA())</f>
        <v>#N/A</v>
      </c>
      <c r="Y87" s="82" t="e">
        <f>IF(Y$39,60.07,NA())</f>
        <v>#N/A</v>
      </c>
      <c r="Z87" s="82">
        <f>IF(Z$39,37.73,NA())</f>
        <v>37.729999999999997</v>
      </c>
    </row>
    <row r="88" spans="1:26" x14ac:dyDescent="0.3">
      <c r="A88" s="81" t="s">
        <v>127</v>
      </c>
      <c r="B88" s="82">
        <f>IF(B$39,149.22,NA())</f>
        <v>149.22</v>
      </c>
      <c r="C88" s="82">
        <f>IF(C$39,40.65,NA())</f>
        <v>40.65</v>
      </c>
      <c r="D88" s="82">
        <f>IF(D$39,76.98,NA())</f>
        <v>76.98</v>
      </c>
      <c r="E88" s="82">
        <f>IF(E$39,58.45,NA())</f>
        <v>58.45</v>
      </c>
      <c r="F88" s="82" t="e">
        <f>NA()</f>
        <v>#N/A</v>
      </c>
      <c r="G88" s="82" t="e">
        <f>IF(G$39,79.78,NA())</f>
        <v>#N/A</v>
      </c>
      <c r="H88" s="82" t="e">
        <f>IF(H$39,47.87,NA())</f>
        <v>#N/A</v>
      </c>
      <c r="I88" s="82" t="e">
        <f>IF(I$39,105.87,NA())</f>
        <v>#N/A</v>
      </c>
      <c r="J88" s="82">
        <f>IF(J$39,49.83,NA())</f>
        <v>49.83</v>
      </c>
      <c r="K88" s="82" t="e">
        <f>IF(K$39,84.66,NA())</f>
        <v>#N/A</v>
      </c>
      <c r="L88" s="82" t="e">
        <f>IF(L$39,58.95,NA())</f>
        <v>#N/A</v>
      </c>
      <c r="M88" s="82" t="e">
        <f>IF(M$39,74.02,NA())</f>
        <v>#N/A</v>
      </c>
      <c r="N88" s="82" t="e">
        <f>IF(N$39,64.56,NA())</f>
        <v>#N/A</v>
      </c>
      <c r="O88" s="82" t="e">
        <f>NA()</f>
        <v>#N/A</v>
      </c>
      <c r="P88" s="82" t="e">
        <f>IF(P$39,60.61,NA())</f>
        <v>#N/A</v>
      </c>
      <c r="Q88" s="82" t="e">
        <f>IF(Q$39,60.8,NA())</f>
        <v>#N/A</v>
      </c>
      <c r="R88" s="82" t="e">
        <f>IF(R$39,70.72,NA())</f>
        <v>#N/A</v>
      </c>
      <c r="S88" s="82">
        <f>IF(S$39,40.61,NA())</f>
        <v>40.61</v>
      </c>
      <c r="T88" s="82" t="e">
        <f>IF(T$39,62.23,NA())</f>
        <v>#N/A</v>
      </c>
      <c r="U88" s="82" t="e">
        <f>IF(U$39,44.9,NA())</f>
        <v>#N/A</v>
      </c>
      <c r="V88" s="82" t="e">
        <f>IF(V$39,50.47,NA())</f>
        <v>#N/A</v>
      </c>
      <c r="W88" s="82" t="e">
        <f>IF(W$39,50.84,NA())</f>
        <v>#N/A</v>
      </c>
      <c r="X88" s="82" t="e">
        <f>IF(X$39,58.87,NA())</f>
        <v>#N/A</v>
      </c>
      <c r="Y88" s="82" t="e">
        <f>IF(Y$39,60.37,NA())</f>
        <v>#N/A</v>
      </c>
      <c r="Z88" s="82">
        <f>IF(Z$39,37.03,NA())</f>
        <v>37.03</v>
      </c>
    </row>
    <row r="89" spans="1:26" x14ac:dyDescent="0.3">
      <c r="A89" s="81" t="s">
        <v>128</v>
      </c>
      <c r="B89" s="82">
        <f>IF(B$39,148.87,NA())</f>
        <v>148.87</v>
      </c>
      <c r="C89" s="82">
        <f>IF(C$39,41.91,NA())</f>
        <v>41.91</v>
      </c>
      <c r="D89" s="82">
        <f>IF(D$39,74.68,NA())</f>
        <v>74.680000000000007</v>
      </c>
      <c r="E89" s="82">
        <f>IF(E$39,57.12,NA())</f>
        <v>57.12</v>
      </c>
      <c r="F89" s="82" t="e">
        <f>NA()</f>
        <v>#N/A</v>
      </c>
      <c r="G89" s="82" t="e">
        <f>IF(G$39,80.04,NA())</f>
        <v>#N/A</v>
      </c>
      <c r="H89" s="82" t="e">
        <f>IF(H$39,48.7,NA())</f>
        <v>#N/A</v>
      </c>
      <c r="I89" s="82" t="e">
        <f>IF(I$39,103.94,NA())</f>
        <v>#N/A</v>
      </c>
      <c r="J89" s="82">
        <f>IF(J$39,48.66,NA())</f>
        <v>48.66</v>
      </c>
      <c r="K89" s="82" t="e">
        <f>IF(K$39,84.85,NA())</f>
        <v>#N/A</v>
      </c>
      <c r="L89" s="82" t="e">
        <f>IF(L$39,58.36,NA())</f>
        <v>#N/A</v>
      </c>
      <c r="M89" s="82" t="e">
        <f>IF(M$39,73.06,NA())</f>
        <v>#N/A</v>
      </c>
      <c r="N89" s="82" t="e">
        <f>IF(N$39,63.12,NA())</f>
        <v>#N/A</v>
      </c>
      <c r="O89" s="82" t="e">
        <f>NA()</f>
        <v>#N/A</v>
      </c>
      <c r="P89" s="82" t="e">
        <f>IF(P$39,59.19,NA())</f>
        <v>#N/A</v>
      </c>
      <c r="Q89" s="82" t="e">
        <f>IF(Q$39,60.8,NA())</f>
        <v>#N/A</v>
      </c>
      <c r="R89" s="82" t="e">
        <f>IF(R$39,69.21,NA())</f>
        <v>#N/A</v>
      </c>
      <c r="S89" s="82">
        <f>IF(S$39,39.62,NA())</f>
        <v>39.619999999999997</v>
      </c>
      <c r="T89" s="82" t="e">
        <f>IF(T$39,63.74,NA())</f>
        <v>#N/A</v>
      </c>
      <c r="U89" s="82" t="e">
        <f>IF(U$39,43.7,NA())</f>
        <v>#N/A</v>
      </c>
      <c r="V89" s="82" t="e">
        <f>IF(V$39,50.47,NA())</f>
        <v>#N/A</v>
      </c>
      <c r="W89" s="82" t="e">
        <f>IF(W$39,48.63,NA())</f>
        <v>#N/A</v>
      </c>
      <c r="X89" s="82" t="e">
        <f>IF(X$39,55.9,NA())</f>
        <v>#N/A</v>
      </c>
      <c r="Y89" s="82" t="e">
        <f>IF(Y$39,60.98,NA())</f>
        <v>#N/A</v>
      </c>
      <c r="Z89" s="82">
        <f>IF(Z$39,36.34,NA())</f>
        <v>36.340000000000003</v>
      </c>
    </row>
    <row r="90" spans="1:26" x14ac:dyDescent="0.3">
      <c r="A90" s="81" t="s">
        <v>129</v>
      </c>
      <c r="B90" s="82">
        <f>IF(B$39,150.98,NA())</f>
        <v>150.97999999999999</v>
      </c>
      <c r="C90" s="82">
        <f>IF(C$39,42.63,NA())</f>
        <v>42.63</v>
      </c>
      <c r="D90" s="82">
        <f>IF(D$39,72.99,NA())</f>
        <v>72.989999999999995</v>
      </c>
      <c r="E90" s="82">
        <f>IF(E$39,57.39,NA())</f>
        <v>57.39</v>
      </c>
      <c r="F90" s="82" t="e">
        <f>NA()</f>
        <v>#N/A</v>
      </c>
      <c r="G90" s="82" t="e">
        <f>IF(G$39,83.93,NA())</f>
        <v>#N/A</v>
      </c>
      <c r="H90" s="82" t="e">
        <f>IF(H$39,48.56,NA())</f>
        <v>#N/A</v>
      </c>
      <c r="I90" s="82" t="e">
        <f>IF(I$39,95.95,NA())</f>
        <v>#N/A</v>
      </c>
      <c r="J90" s="82">
        <f>IF(J$39,48.56,NA())</f>
        <v>48.56</v>
      </c>
      <c r="K90" s="82" t="e">
        <f>IF(K$39,84.66,NA())</f>
        <v>#N/A</v>
      </c>
      <c r="L90" s="82" t="e">
        <f>IF(L$39,58.5,NA())</f>
        <v>#N/A</v>
      </c>
      <c r="M90" s="82" t="e">
        <f>IF(M$39,72.65,NA())</f>
        <v>#N/A</v>
      </c>
      <c r="N90" s="82" t="e">
        <f>IF(N$39,62.47,NA())</f>
        <v>#N/A</v>
      </c>
      <c r="O90" s="82" t="e">
        <f>NA()</f>
        <v>#N/A</v>
      </c>
      <c r="P90" s="82" t="e">
        <f>IF(P$39,57.46,NA())</f>
        <v>#N/A</v>
      </c>
      <c r="Q90" s="82" t="e">
        <f>IF(Q$39,59.38,NA())</f>
        <v>#N/A</v>
      </c>
      <c r="R90" s="82" t="e">
        <f>IF(R$39,67.26,NA())</f>
        <v>#N/A</v>
      </c>
      <c r="S90" s="82">
        <f>IF(S$39,39.29,NA())</f>
        <v>39.29</v>
      </c>
      <c r="T90" s="82" t="e">
        <f>IF(T$39,63.23,NA())</f>
        <v>#N/A</v>
      </c>
      <c r="U90" s="82" t="e">
        <f>IF(U$39,42.96,NA())</f>
        <v>#N/A</v>
      </c>
      <c r="V90" s="82" t="e">
        <f>IF(V$39,50.27,NA())</f>
        <v>#N/A</v>
      </c>
      <c r="W90" s="82" t="e">
        <f>IF(W$39,47.1,NA())</f>
        <v>#N/A</v>
      </c>
      <c r="X90" s="82" t="e">
        <f>IF(X$39,55.13,NA())</f>
        <v>#N/A</v>
      </c>
      <c r="Y90" s="82" t="e">
        <f>IF(Y$39,59.47,NA())</f>
        <v>#N/A</v>
      </c>
      <c r="Z90" s="82">
        <f>IF(Z$39,35.06,NA())</f>
        <v>35.06</v>
      </c>
    </row>
    <row r="91" spans="1:26" x14ac:dyDescent="0.3">
      <c r="A91" s="81" t="s">
        <v>130</v>
      </c>
      <c r="B91" s="82">
        <f>IF(B$39,150.46,NA())</f>
        <v>150.46</v>
      </c>
      <c r="C91" s="82">
        <f>IF(C$39,44.25,NA())</f>
        <v>44.25</v>
      </c>
      <c r="D91" s="82">
        <f>IF(D$39,73.59,NA())</f>
        <v>73.59</v>
      </c>
      <c r="E91" s="82">
        <f>IF(E$39,58.05,NA())</f>
        <v>58.05</v>
      </c>
      <c r="F91" s="82" t="e">
        <f>NA()</f>
        <v>#N/A</v>
      </c>
      <c r="G91" s="82" t="e">
        <f>IF(G$39,84.56,NA())</f>
        <v>#N/A</v>
      </c>
      <c r="H91" s="82" t="e">
        <f>IF(H$39,49.38,NA())</f>
        <v>#N/A</v>
      </c>
      <c r="I91" s="82" t="e">
        <f>IF(I$39,94.02,NA())</f>
        <v>#N/A</v>
      </c>
      <c r="J91" s="82">
        <f>IF(J$39,49.41,NA())</f>
        <v>49.41</v>
      </c>
      <c r="K91" s="82" t="e">
        <f>IF(K$39,83.67,NA())</f>
        <v>#N/A</v>
      </c>
      <c r="L91" s="82" t="e">
        <f>IF(L$39,59.4,NA())</f>
        <v>#N/A</v>
      </c>
      <c r="M91" s="82" t="e">
        <f>IF(M$39,71.97,NA())</f>
        <v>#N/A</v>
      </c>
      <c r="N91" s="82" t="e">
        <f>IF(N$39,63.12,NA())</f>
        <v>#N/A</v>
      </c>
      <c r="O91" s="82" t="e">
        <f>NA()</f>
        <v>#N/A</v>
      </c>
      <c r="P91" s="82" t="e">
        <f>IF(P$39,55.52,NA())</f>
        <v>#N/A</v>
      </c>
      <c r="Q91" s="82" t="e">
        <f>IF(Q$39,58.67,NA())</f>
        <v>#N/A</v>
      </c>
      <c r="R91" s="82" t="e">
        <f>IF(R$39,67.91,NA())</f>
        <v>#N/A</v>
      </c>
      <c r="S91" s="82">
        <f>IF(S$39,40.28,NA())</f>
        <v>40.28</v>
      </c>
      <c r="T91" s="82" t="e">
        <f>IF(T$39,60.71,NA())</f>
        <v>#N/A</v>
      </c>
      <c r="U91" s="82" t="e">
        <f>IF(U$39,43.33,NA())</f>
        <v>#N/A</v>
      </c>
      <c r="V91" s="82" t="e">
        <f>IF(V$39,50.86,NA())</f>
        <v>#N/A</v>
      </c>
      <c r="W91" s="82" t="e">
        <f>IF(W$39,46.42,NA())</f>
        <v>#N/A</v>
      </c>
      <c r="X91" s="82" t="e">
        <f>IF(X$39,53.27,NA())</f>
        <v>#N/A</v>
      </c>
      <c r="Y91" s="82" t="e">
        <f>IF(Y$39,58.86,NA())</f>
        <v>#N/A</v>
      </c>
      <c r="Z91" s="82">
        <f>IF(Z$39,37.03,NA())</f>
        <v>37.03</v>
      </c>
    </row>
    <row r="92" spans="1:26" x14ac:dyDescent="0.3">
      <c r="A92" s="81" t="s">
        <v>131</v>
      </c>
      <c r="B92" s="82">
        <f>IF(B$39,146.58,NA())</f>
        <v>146.58000000000001</v>
      </c>
      <c r="C92" s="82">
        <f>IF(C$39,45.87,NA())</f>
        <v>45.87</v>
      </c>
      <c r="D92" s="82">
        <f>IF(D$39,74.8,NA())</f>
        <v>74.8</v>
      </c>
      <c r="E92" s="82">
        <f>IF(E$39,58.72,NA())</f>
        <v>58.72</v>
      </c>
      <c r="F92" s="82" t="e">
        <f>NA()</f>
        <v>#N/A</v>
      </c>
      <c r="G92" s="82" t="e">
        <f>IF(G$39,84.06,NA())</f>
        <v>#N/A</v>
      </c>
      <c r="H92" s="82" t="e">
        <f>IF(H$39,49.52,NA())</f>
        <v>#N/A</v>
      </c>
      <c r="I92" s="82" t="e">
        <f>IF(I$39,90.16,NA())</f>
        <v>#N/A</v>
      </c>
      <c r="J92" s="82">
        <f>IF(J$39,49.09,NA())</f>
        <v>49.09</v>
      </c>
      <c r="K92" s="82" t="e">
        <f>IF(K$39,79.53,NA())</f>
        <v>#N/A</v>
      </c>
      <c r="L92" s="82" t="e">
        <f>IF(L$39,58.95,NA())</f>
        <v>#N/A</v>
      </c>
      <c r="M92" s="82" t="e">
        <f>IF(M$39,71.14,NA())</f>
        <v>#N/A</v>
      </c>
      <c r="N92" s="82" t="e">
        <f>IF(N$39,62.32,NA())</f>
        <v>#N/A</v>
      </c>
      <c r="O92" s="82" t="e">
        <f>NA()</f>
        <v>#N/A</v>
      </c>
      <c r="P92" s="82" t="e">
        <f>IF(P$39,54.71,NA())</f>
        <v>#N/A</v>
      </c>
      <c r="Q92" s="82" t="e">
        <f>IF(Q$39,56.67,NA())</f>
        <v>#N/A</v>
      </c>
      <c r="R92" s="82" t="e">
        <f>IF(R$39,66.72,NA())</f>
        <v>#N/A</v>
      </c>
      <c r="S92" s="82">
        <f>IF(S$39,40.28,NA())</f>
        <v>40.28</v>
      </c>
      <c r="T92" s="82" t="e">
        <f>IF(T$39,58.2,NA())</f>
        <v>#N/A</v>
      </c>
      <c r="U92" s="82" t="e">
        <f>IF(U$39,42.4,NA())</f>
        <v>#N/A</v>
      </c>
      <c r="V92" s="82" t="e">
        <f>IF(V$39,45.93,NA())</f>
        <v>#N/A</v>
      </c>
      <c r="W92" s="82" t="e">
        <f>IF(W$39,44.04,NA())</f>
        <v>#N/A</v>
      </c>
      <c r="X92" s="82" t="e">
        <f>IF(X$39,50.08,NA())</f>
        <v>#N/A</v>
      </c>
      <c r="Y92" s="82" t="e">
        <f>IF(Y$39,59.77,NA())</f>
        <v>#N/A</v>
      </c>
      <c r="Z92" s="82">
        <f>IF(Z$39,37.26,NA())</f>
        <v>37.26</v>
      </c>
    </row>
    <row r="93" spans="1:26" x14ac:dyDescent="0.3">
      <c r="A93" s="81" t="s">
        <v>132</v>
      </c>
      <c r="B93" s="82">
        <f>IF(B$39,143.77,NA())</f>
        <v>143.77000000000001</v>
      </c>
      <c r="C93" s="82">
        <f>IF(C$39,47.85,NA())</f>
        <v>47.85</v>
      </c>
      <c r="D93" s="82">
        <f>IF(D$39,73.11,NA())</f>
        <v>73.11</v>
      </c>
      <c r="E93" s="82">
        <f>IF(E$39,57.12,NA())</f>
        <v>57.12</v>
      </c>
      <c r="F93" s="82" t="e">
        <f>NA()</f>
        <v>#N/A</v>
      </c>
      <c r="G93" s="82" t="e">
        <f>IF(G$39,86.19,NA())</f>
        <v>#N/A</v>
      </c>
      <c r="H93" s="82" t="e">
        <f>IF(H$39,49.79,NA())</f>
        <v>#N/A</v>
      </c>
      <c r="I93" s="82" t="e">
        <f>IF(I$39,87.68,NA())</f>
        <v>#N/A</v>
      </c>
      <c r="J93" s="82">
        <f>IF(J$39,48.13,NA())</f>
        <v>48.13</v>
      </c>
      <c r="K93" s="82" t="e">
        <f>IF(K$39,77.75,NA())</f>
        <v>#N/A</v>
      </c>
      <c r="L93" s="82" t="e">
        <f>IF(L$39,57.16,NA())</f>
        <v>#N/A</v>
      </c>
      <c r="M93" s="82" t="e">
        <f>IF(M$39,67.72,NA())</f>
        <v>#N/A</v>
      </c>
      <c r="N93" s="82" t="e">
        <f>IF(N$39,61.53,NA())</f>
        <v>#N/A</v>
      </c>
      <c r="O93" s="82" t="e">
        <f>NA()</f>
        <v>#N/A</v>
      </c>
      <c r="P93" s="82" t="e">
        <f>IF(P$39,54.81,NA())</f>
        <v>#N/A</v>
      </c>
      <c r="Q93" s="82" t="e">
        <f>IF(Q$39,56.11,NA())</f>
        <v>#N/A</v>
      </c>
      <c r="R93" s="82" t="e">
        <f>IF(R$39,65.53,NA())</f>
        <v>#N/A</v>
      </c>
      <c r="S93" s="82">
        <f>IF(S$39,38.96,NA())</f>
        <v>38.96</v>
      </c>
      <c r="T93" s="82" t="e">
        <f>IF(T$39,57.31,NA())</f>
        <v>#N/A</v>
      </c>
      <c r="U93" s="82" t="e">
        <f>IF(U$39,41.38,NA())</f>
        <v>#N/A</v>
      </c>
      <c r="V93" s="82" t="e">
        <f>IF(V$39,45.54,NA())</f>
        <v>#N/A</v>
      </c>
      <c r="W93" s="82" t="e">
        <f>IF(W$39,43.02,NA())</f>
        <v>#N/A</v>
      </c>
      <c r="X93" s="82" t="e">
        <f>IF(X$39,48.43,NA())</f>
        <v>#N/A</v>
      </c>
      <c r="Y93" s="82" t="e">
        <f>IF(Y$39,57.96,NA())</f>
        <v>#N/A</v>
      </c>
      <c r="Z93" s="82">
        <f>IF(Z$39,37.38,NA())</f>
        <v>37.380000000000003</v>
      </c>
    </row>
    <row r="94" spans="1:26" x14ac:dyDescent="0.3">
      <c r="A94" s="81" t="s">
        <v>133</v>
      </c>
      <c r="B94" s="82">
        <f>IF(B$39,138.67,NA())</f>
        <v>138.66999999999999</v>
      </c>
      <c r="C94" s="82">
        <f>IF(C$39,49.11,NA())</f>
        <v>49.11</v>
      </c>
      <c r="D94" s="82">
        <f>IF(D$39,71.54,NA())</f>
        <v>71.540000000000006</v>
      </c>
      <c r="E94" s="82">
        <f>IF(E$39,56.59,NA())</f>
        <v>56.59</v>
      </c>
      <c r="F94" s="82" t="e">
        <f>NA()</f>
        <v>#N/A</v>
      </c>
      <c r="G94" s="82" t="e">
        <f>IF(G$39,85.56,NA())</f>
        <v>#N/A</v>
      </c>
      <c r="H94" s="82" t="e">
        <f>IF(H$39,48.97,NA())</f>
        <v>#N/A</v>
      </c>
      <c r="I94" s="82" t="e">
        <f>IF(I$39,85.47,NA())</f>
        <v>#N/A</v>
      </c>
      <c r="J94" s="82">
        <f>IF(J$39,47.81,NA())</f>
        <v>47.81</v>
      </c>
      <c r="K94" s="82" t="e">
        <f>IF(K$39,75.78,NA())</f>
        <v>#N/A</v>
      </c>
      <c r="L94" s="82" t="e">
        <f>IF(L$39,55.82,NA())</f>
        <v>#N/A</v>
      </c>
      <c r="M94" s="82" t="e">
        <f>IF(M$39,68.4,NA())</f>
        <v>#N/A</v>
      </c>
      <c r="N94" s="82" t="e">
        <f>IF(N$39,60.81,NA())</f>
        <v>#N/A</v>
      </c>
      <c r="O94" s="82" t="e">
        <f>NA()</f>
        <v>#N/A</v>
      </c>
      <c r="P94" s="82" t="e">
        <f>IF(P$39,53.08,NA())</f>
        <v>#N/A</v>
      </c>
      <c r="Q94" s="82" t="e">
        <f>IF(Q$39,55.54,NA())</f>
        <v>#N/A</v>
      </c>
      <c r="R94" s="82" t="e">
        <f>IF(R$39,63.15,NA())</f>
        <v>#N/A</v>
      </c>
      <c r="S94" s="82">
        <f>IF(S$39,38.96,NA())</f>
        <v>38.96</v>
      </c>
      <c r="T94" s="82" t="e">
        <f>IF(T$39,55.93,NA())</f>
        <v>#N/A</v>
      </c>
      <c r="U94" s="82" t="e">
        <f>IF(U$39,41.29,NA())</f>
        <v>#N/A</v>
      </c>
      <c r="V94" s="82" t="e">
        <f>IF(V$39,44.95,NA())</f>
        <v>#N/A</v>
      </c>
      <c r="W94" s="82" t="e">
        <f>IF(W$39,41.49,NA())</f>
        <v>#N/A</v>
      </c>
      <c r="X94" s="82" t="e">
        <f>IF(X$39,46.24,NA())</f>
        <v>#N/A</v>
      </c>
      <c r="Y94" s="82" t="e">
        <f>IF(Y$39,57.05,NA())</f>
        <v>#N/A</v>
      </c>
      <c r="Z94" s="82">
        <f>IF(Z$39,36.69,NA())</f>
        <v>36.69</v>
      </c>
    </row>
    <row r="95" spans="1:26" x14ac:dyDescent="0.3">
      <c r="A95" s="81" t="s">
        <v>134</v>
      </c>
      <c r="B95" s="82">
        <f>IF(B$39,135.67,NA())</f>
        <v>135.66999999999999</v>
      </c>
      <c r="C95" s="82">
        <f>IF(C$39,50.54,NA())</f>
        <v>50.54</v>
      </c>
      <c r="D95" s="82">
        <f>IF(D$39,71.42,NA())</f>
        <v>71.42</v>
      </c>
      <c r="E95" s="82">
        <f>IF(E$39,56.06,NA())</f>
        <v>56.06</v>
      </c>
      <c r="F95" s="82" t="e">
        <f>NA()</f>
        <v>#N/A</v>
      </c>
      <c r="G95" s="82" t="e">
        <f>IF(G$39,82.67,NA())</f>
        <v>#N/A</v>
      </c>
      <c r="H95" s="82" t="e">
        <f>IF(H$39,49.24,NA())</f>
        <v>#N/A</v>
      </c>
      <c r="I95" s="82" t="e">
        <f>IF(I$39,78.85,NA())</f>
        <v>#N/A</v>
      </c>
      <c r="J95" s="82">
        <f>IF(J$39,46.01,NA())</f>
        <v>46.01</v>
      </c>
      <c r="K95" s="82" t="e">
        <f>IF(K$39,71.63,NA())</f>
        <v>#N/A</v>
      </c>
      <c r="L95" s="82" t="e">
        <f>IF(L$39,53.29,NA())</f>
        <v>#N/A</v>
      </c>
      <c r="M95" s="82" t="e">
        <f>IF(M$39,66.48,NA())</f>
        <v>#N/A</v>
      </c>
      <c r="N95" s="82" t="e">
        <f>IF(N$39,57.85,NA())</f>
        <v>#N/A</v>
      </c>
      <c r="O95" s="82" t="e">
        <f>NA()</f>
        <v>#N/A</v>
      </c>
      <c r="P95" s="82" t="e">
        <f>IF(P$39,51.14,NA())</f>
        <v>#N/A</v>
      </c>
      <c r="Q95" s="82" t="e">
        <f>IF(Q$39,54.11,NA())</f>
        <v>#N/A</v>
      </c>
      <c r="R95" s="82" t="e">
        <f>IF(R$39,60.67,NA())</f>
        <v>#N/A</v>
      </c>
      <c r="S95" s="82">
        <f>IF(S$39,38.29,NA())</f>
        <v>38.29</v>
      </c>
      <c r="T95" s="82" t="e">
        <f>IF(T$39,55.05,NA())</f>
        <v>#N/A</v>
      </c>
      <c r="U95" s="82" t="e">
        <f>IF(U$39,40.18,NA())</f>
        <v>#N/A</v>
      </c>
      <c r="V95" s="82" t="e">
        <f>IF(V$39,46.72,NA())</f>
        <v>#N/A</v>
      </c>
      <c r="W95" s="82" t="e">
        <f>IF(W$39,42,NA())</f>
        <v>#N/A</v>
      </c>
      <c r="X95" s="82" t="e">
        <f>IF(X$39,44.81,NA())</f>
        <v>#N/A</v>
      </c>
      <c r="Y95" s="82" t="e">
        <f>IF(Y$39,54.34,NA())</f>
        <v>#N/A</v>
      </c>
      <c r="Z95" s="82">
        <f>IF(Z$39,38.42,NA())</f>
        <v>38.42</v>
      </c>
    </row>
    <row r="96" spans="1:26" x14ac:dyDescent="0.3">
      <c r="A96" s="81" t="s">
        <v>135</v>
      </c>
      <c r="B96" s="82">
        <f>IF(B$39,132.51,NA())</f>
        <v>132.51</v>
      </c>
      <c r="C96" s="82">
        <f>IF(C$39,51.08,NA())</f>
        <v>51.08</v>
      </c>
      <c r="D96" s="82">
        <f>IF(D$39,69.12,NA())</f>
        <v>69.12</v>
      </c>
      <c r="E96" s="82">
        <f>IF(E$39,54.6,NA())</f>
        <v>54.6</v>
      </c>
      <c r="F96" s="82" t="e">
        <f>NA()</f>
        <v>#N/A</v>
      </c>
      <c r="G96" s="82" t="e">
        <f>IF(G$39,77.9,NA())</f>
        <v>#N/A</v>
      </c>
      <c r="H96" s="82" t="e">
        <f>IF(H$39,50.48,NA())</f>
        <v>#N/A</v>
      </c>
      <c r="I96" s="82" t="e">
        <f>IF(I$39,76.1,NA())</f>
        <v>#N/A</v>
      </c>
      <c r="J96" s="82">
        <f>IF(J$39,44.94,NA())</f>
        <v>44.94</v>
      </c>
      <c r="K96" s="82" t="e">
        <f>IF(K$39,70.45,NA())</f>
        <v>#N/A</v>
      </c>
      <c r="L96" s="82" t="e">
        <f>IF(L$39,50.91,NA())</f>
        <v>#N/A</v>
      </c>
      <c r="M96" s="82" t="e">
        <f>IF(M$39,66.07,NA())</f>
        <v>#N/A</v>
      </c>
      <c r="N96" s="82" t="e">
        <f>IF(N$39,56.26,NA())</f>
        <v>#N/A</v>
      </c>
      <c r="O96" s="82" t="e">
        <f>NA()</f>
        <v>#N/A</v>
      </c>
      <c r="P96" s="82" t="e">
        <f>IF(P$39,48.8,NA())</f>
        <v>#N/A</v>
      </c>
      <c r="Q96" s="82" t="e">
        <f>IF(Q$39,54.25,NA())</f>
        <v>#N/A</v>
      </c>
      <c r="R96" s="82" t="e">
        <f>IF(R$39,57.64,NA())</f>
        <v>#N/A</v>
      </c>
      <c r="S96" s="82">
        <f>IF(S$39,39.62,NA())</f>
        <v>39.619999999999997</v>
      </c>
      <c r="T96" s="82" t="e">
        <f>IF(T$39,54.04,NA())</f>
        <v>#N/A</v>
      </c>
      <c r="U96" s="82" t="e">
        <f>IF(U$39,39.35,NA())</f>
        <v>#N/A</v>
      </c>
      <c r="V96" s="82" t="e">
        <f>IF(V$39,45.14,NA())</f>
        <v>#N/A</v>
      </c>
      <c r="W96" s="82" t="e">
        <f>IF(W$39,38.94,NA())</f>
        <v>#N/A</v>
      </c>
      <c r="X96" s="82" t="e">
        <f>IF(X$39,45.47,NA())</f>
        <v>#N/A</v>
      </c>
      <c r="Y96" s="82" t="e">
        <f>IF(Y$39,51.32,NA())</f>
        <v>#N/A</v>
      </c>
      <c r="Z96" s="82">
        <f>IF(Z$39,37.5,NA())</f>
        <v>37.5</v>
      </c>
    </row>
    <row r="97" spans="1:26" x14ac:dyDescent="0.3">
      <c r="A97" s="81" t="s">
        <v>136</v>
      </c>
      <c r="B97" s="82">
        <f>IF(B$39,131.98,NA())</f>
        <v>131.97999999999999</v>
      </c>
      <c r="C97" s="82">
        <f>IF(C$39,51.08,NA())</f>
        <v>51.08</v>
      </c>
      <c r="D97" s="82">
        <f>IF(D$39,65.86,NA())</f>
        <v>65.86</v>
      </c>
      <c r="E97" s="82">
        <f>IF(E$39,51.01,NA())</f>
        <v>51.01</v>
      </c>
      <c r="F97" s="82" t="e">
        <f>NA()</f>
        <v>#N/A</v>
      </c>
      <c r="G97" s="82" t="e">
        <f>IF(G$39,74.13,NA())</f>
        <v>#N/A</v>
      </c>
      <c r="H97" s="82" t="e">
        <f>IF(H$39,48.83,NA())</f>
        <v>#N/A</v>
      </c>
      <c r="I97" s="82" t="e">
        <f>IF(I$39,68.93,NA())</f>
        <v>#N/A</v>
      </c>
      <c r="J97" s="82">
        <f>IF(J$39,43.03,NA())</f>
        <v>43.03</v>
      </c>
      <c r="K97" s="82" t="e">
        <f>IF(K$39,67.29,NA())</f>
        <v>#N/A</v>
      </c>
      <c r="L97" s="82" t="e">
        <f>IF(L$39,50.32,NA())</f>
        <v>#N/A</v>
      </c>
      <c r="M97" s="82" t="e">
        <f>IF(M$39,62.92,NA())</f>
        <v>#N/A</v>
      </c>
      <c r="N97" s="82" t="e">
        <f>IF(N$39,54.23,NA())</f>
        <v>#N/A</v>
      </c>
      <c r="O97" s="82" t="e">
        <f>NA()</f>
        <v>#N/A</v>
      </c>
      <c r="P97" s="82" t="e">
        <f>IF(P$39,45.64,NA())</f>
        <v>#N/A</v>
      </c>
      <c r="Q97" s="82" t="e">
        <f>IF(Q$39,51.12,NA())</f>
        <v>#N/A</v>
      </c>
      <c r="R97" s="82" t="e">
        <f>IF(R$39,54.5,NA())</f>
        <v>#N/A</v>
      </c>
      <c r="S97" s="82">
        <f>IF(S$39,38.63,NA())</f>
        <v>38.630000000000003</v>
      </c>
      <c r="T97" s="82" t="e">
        <f>IF(T$39,51.77,NA())</f>
        <v>#N/A</v>
      </c>
      <c r="U97" s="82" t="e">
        <f>IF(U$39,37.87,NA())</f>
        <v>#N/A</v>
      </c>
      <c r="V97" s="82" t="e">
        <f>IF(V$39,41.79,NA())</f>
        <v>#N/A</v>
      </c>
      <c r="W97" s="82" t="e">
        <f>IF(W$39,37.24,NA())</f>
        <v>#N/A</v>
      </c>
      <c r="X97" s="82" t="e">
        <f>IF(X$39,44.48,NA())</f>
        <v>#N/A</v>
      </c>
      <c r="Y97" s="82" t="e">
        <f>IF(Y$39,47.69,NA())</f>
        <v>#N/A</v>
      </c>
      <c r="Z97" s="82">
        <f>IF(Z$39,35.64,NA())</f>
        <v>35.64</v>
      </c>
    </row>
    <row r="98" spans="1:26" x14ac:dyDescent="0.3">
      <c r="A98" s="81" t="s">
        <v>137</v>
      </c>
      <c r="B98" s="82">
        <f>IF(B$39,129.69,NA())</f>
        <v>129.69</v>
      </c>
      <c r="C98" s="82">
        <f>IF(C$39,52.88,NA())</f>
        <v>52.88</v>
      </c>
      <c r="D98" s="82">
        <f>IF(D$39,63.8,NA())</f>
        <v>63.8</v>
      </c>
      <c r="E98" s="82">
        <f>IF(E$39,48.22,NA())</f>
        <v>48.22</v>
      </c>
      <c r="F98" s="82">
        <f>IF(F$39,62.9,NA())</f>
        <v>62.9</v>
      </c>
      <c r="G98" s="82" t="e">
        <f>IF(G$39,69.98,NA())</f>
        <v>#N/A</v>
      </c>
      <c r="H98" s="82" t="e">
        <f>IF(H$39,47.6,NA())</f>
        <v>#N/A</v>
      </c>
      <c r="I98" s="82" t="e">
        <f>IF(I$39,65.07,NA())</f>
        <v>#N/A</v>
      </c>
      <c r="J98" s="82">
        <f>IF(J$39,42.18,NA())</f>
        <v>42.18</v>
      </c>
      <c r="K98" s="82" t="e">
        <f>IF(K$39,65.71,NA())</f>
        <v>#N/A</v>
      </c>
      <c r="L98" s="82" t="e">
        <f>IF(L$39,49.42,NA())</f>
        <v>#N/A</v>
      </c>
      <c r="M98" s="82" t="e">
        <f>IF(M$39,59.49,NA())</f>
        <v>#N/A</v>
      </c>
      <c r="N98" s="82" t="e">
        <f>IF(N$39,54.67,NA())</f>
        <v>#N/A</v>
      </c>
      <c r="O98" s="82" t="e">
        <f>NA()</f>
        <v>#N/A</v>
      </c>
      <c r="P98" s="82" t="e">
        <f>IF(P$39,45.33,NA())</f>
        <v>#N/A</v>
      </c>
      <c r="Q98" s="82" t="e">
        <f>IF(Q$39,49.41,NA())</f>
        <v>#N/A</v>
      </c>
      <c r="R98" s="82" t="e">
        <f>IF(R$39,53.2,NA())</f>
        <v>#N/A</v>
      </c>
      <c r="S98" s="82">
        <f>IF(S$39,40.61,NA())</f>
        <v>40.61</v>
      </c>
      <c r="T98" s="82" t="e">
        <f>IF(T$39,49.63,NA())</f>
        <v>#N/A</v>
      </c>
      <c r="U98" s="82" t="e">
        <f>IF(U$39,37.49,NA())</f>
        <v>#N/A</v>
      </c>
      <c r="V98" s="82" t="e">
        <f>IF(V$39,41.4,NA())</f>
        <v>#N/A</v>
      </c>
      <c r="W98" s="82" t="e">
        <f>IF(W$39,36.05,NA())</f>
        <v>#N/A</v>
      </c>
      <c r="X98" s="82" t="e">
        <f>IF(X$39,42.72,NA())</f>
        <v>#N/A</v>
      </c>
      <c r="Y98" s="82" t="e">
        <f>IF(Y$39,46.49,NA())</f>
        <v>#N/A</v>
      </c>
      <c r="Z98" s="82">
        <f>IF(Z$39,34.83,NA())</f>
        <v>34.83</v>
      </c>
    </row>
    <row r="99" spans="1:26" x14ac:dyDescent="0.3">
      <c r="A99" s="81" t="s">
        <v>138</v>
      </c>
      <c r="B99" s="82">
        <f>IF(B$39,121.77,NA())</f>
        <v>121.77</v>
      </c>
      <c r="C99" s="82">
        <f>IF(C$39,55.4,NA())</f>
        <v>55.4</v>
      </c>
      <c r="D99" s="82">
        <f>IF(D$39,61.15,NA())</f>
        <v>61.15</v>
      </c>
      <c r="E99" s="82">
        <f>IF(E$39,46.76,NA())</f>
        <v>46.76</v>
      </c>
      <c r="F99" s="82">
        <f>IF(F$39,62.39,NA())</f>
        <v>62.39</v>
      </c>
      <c r="G99" s="82" t="e">
        <f>IF(G$39,66.47,NA())</f>
        <v>#N/A</v>
      </c>
      <c r="H99" s="82" t="e">
        <f>IF(H$39,46.64,NA())</f>
        <v>#N/A</v>
      </c>
      <c r="I99" s="82" t="e">
        <f>IF(I$39,61.48,NA())</f>
        <v>#N/A</v>
      </c>
      <c r="J99" s="82">
        <f>IF(J$39,41.65,NA())</f>
        <v>41.65</v>
      </c>
      <c r="K99" s="82" t="e">
        <f>IF(K$39,63.54,NA())</f>
        <v>#N/A</v>
      </c>
      <c r="L99" s="82" t="e">
        <f>IF(L$39,47.34,NA())</f>
        <v>#N/A</v>
      </c>
      <c r="M99" s="82" t="e">
        <f>IF(M$39,56.48,NA())</f>
        <v>#N/A</v>
      </c>
      <c r="N99" s="82" t="e">
        <f>IF(N$39,51.78,NA())</f>
        <v>#N/A</v>
      </c>
      <c r="O99" s="82">
        <f>IF(O$39,41.24,NA())</f>
        <v>41.24</v>
      </c>
      <c r="P99" s="82" t="e">
        <f>IF(P$39,45.13,NA())</f>
        <v>#N/A</v>
      </c>
      <c r="Q99" s="82" t="e">
        <f>IF(Q$39,48.7,NA())</f>
        <v>#N/A</v>
      </c>
      <c r="R99" s="82" t="e">
        <f>IF(R$39,51.91,NA())</f>
        <v>#N/A</v>
      </c>
      <c r="S99" s="82">
        <f>IF(S$39,40.61,NA())</f>
        <v>40.61</v>
      </c>
      <c r="T99" s="82" t="e">
        <f>IF(T$39,48.37,NA())</f>
        <v>#N/A</v>
      </c>
      <c r="U99" s="82" t="e">
        <f>IF(U$39,36.57,NA())</f>
        <v>#N/A</v>
      </c>
      <c r="V99" s="82" t="e">
        <f>IF(V$39,39.03,NA())</f>
        <v>#N/A</v>
      </c>
      <c r="W99" s="82" t="e">
        <f>IF(W$39,34.18,NA())</f>
        <v>#N/A</v>
      </c>
      <c r="X99" s="82" t="e">
        <f>IF(X$39,41.07,NA())</f>
        <v>#N/A</v>
      </c>
      <c r="Y99" s="82" t="e">
        <f>IF(Y$39,42.56,NA())</f>
        <v>#N/A</v>
      </c>
      <c r="Z99" s="82">
        <f>IF(Z$39,34.14,NA())</f>
        <v>34.14</v>
      </c>
    </row>
    <row r="100" spans="1:26" x14ac:dyDescent="0.3">
      <c r="A100" s="81" t="s">
        <v>139</v>
      </c>
      <c r="B100" s="82">
        <f>IF(B$39,116.32,NA())</f>
        <v>116.32</v>
      </c>
      <c r="C100" s="82">
        <f>IF(C$39,56.12,NA())</f>
        <v>56.12</v>
      </c>
      <c r="D100" s="82">
        <f>IF(D$39,59.82,NA())</f>
        <v>59.82</v>
      </c>
      <c r="E100" s="82">
        <f>IF(E$39,45.83,NA())</f>
        <v>45.83</v>
      </c>
      <c r="F100" s="82">
        <f>IF(F$39,60.74,NA())</f>
        <v>60.74</v>
      </c>
      <c r="G100" s="82" t="e">
        <f>IF(G$39,68.6,NA())</f>
        <v>#N/A</v>
      </c>
      <c r="H100" s="82" t="e">
        <f>IF(H$39,44.44,NA())</f>
        <v>#N/A</v>
      </c>
      <c r="I100" s="82" t="e">
        <f>IF(I$39,59,NA())</f>
        <v>#N/A</v>
      </c>
      <c r="J100" s="82">
        <f>IF(J$39,40.91,NA())</f>
        <v>40.909999999999997</v>
      </c>
      <c r="K100" s="82" t="e">
        <f>IF(K$39,59.99,NA())</f>
        <v>#N/A</v>
      </c>
      <c r="L100" s="82" t="e">
        <f>IF(L$39,46.45,NA())</f>
        <v>#N/A</v>
      </c>
      <c r="M100" s="82" t="e">
        <f>IF(M$39,54.97,NA())</f>
        <v>#N/A</v>
      </c>
      <c r="N100" s="82" t="e">
        <f>IF(N$39,50.84,NA())</f>
        <v>#N/A</v>
      </c>
      <c r="O100" s="82">
        <f>IF(O$39,41.06,NA())</f>
        <v>41.06</v>
      </c>
      <c r="P100" s="82" t="e">
        <f>IF(P$39,44.82,NA())</f>
        <v>#N/A</v>
      </c>
      <c r="Q100" s="82" t="e">
        <f>IF(Q$39,46.71,NA())</f>
        <v>#N/A</v>
      </c>
      <c r="R100" s="82" t="e">
        <f>IF(R$39,47.15,NA())</f>
        <v>#N/A</v>
      </c>
      <c r="S100" s="82">
        <f>IF(S$39,41.93,NA())</f>
        <v>41.93</v>
      </c>
      <c r="T100" s="82" t="e">
        <f>IF(T$39,48.37,NA())</f>
        <v>#N/A</v>
      </c>
      <c r="U100" s="82" t="e">
        <f>IF(U$39,35.64,NA())</f>
        <v>#N/A</v>
      </c>
      <c r="V100" s="82" t="e">
        <f>IF(V$39,39.03,NA())</f>
        <v>#N/A</v>
      </c>
      <c r="W100" s="82" t="e">
        <f>IF(W$39,33.5,NA())</f>
        <v>#N/A</v>
      </c>
      <c r="X100" s="82" t="e">
        <f>IF(X$39,38.66,NA())</f>
        <v>#N/A</v>
      </c>
      <c r="Y100" s="82" t="e">
        <f>IF(Y$39,39.85,NA())</f>
        <v>#N/A</v>
      </c>
      <c r="Z100" s="82">
        <f>IF(Z$39,34.72,NA())</f>
        <v>34.72</v>
      </c>
    </row>
    <row r="101" spans="1:26" x14ac:dyDescent="0.3">
      <c r="A101" s="81" t="s">
        <v>140</v>
      </c>
      <c r="B101" s="82">
        <f>IF(B$39,111.74,NA())</f>
        <v>111.74</v>
      </c>
      <c r="C101" s="82">
        <f>IF(C$39,56.84,NA())</f>
        <v>56.84</v>
      </c>
      <c r="D101" s="82">
        <f>IF(D$39,59.58,NA())</f>
        <v>59.58</v>
      </c>
      <c r="E101" s="82">
        <f>IF(E$39,46.76,NA())</f>
        <v>46.76</v>
      </c>
      <c r="F101" s="82">
        <f>IF(F$39,59.53,NA())</f>
        <v>59.53</v>
      </c>
      <c r="G101" s="82" t="e">
        <f>IF(G$39,67.22,NA())</f>
        <v>#N/A</v>
      </c>
      <c r="H101" s="82" t="e">
        <f>IF(H$39,44.31,NA())</f>
        <v>#N/A</v>
      </c>
      <c r="I101" s="82" t="e">
        <f>IF(I$39,53.49,NA())</f>
        <v>#N/A</v>
      </c>
      <c r="J101" s="82">
        <f>IF(J$39,41.65,NA())</f>
        <v>41.65</v>
      </c>
      <c r="K101" s="82" t="e">
        <f>IF(K$39,55.25,NA())</f>
        <v>#N/A</v>
      </c>
      <c r="L101" s="82" t="e">
        <f>IF(L$39,46.89,NA())</f>
        <v>#N/A</v>
      </c>
      <c r="M101" s="82" t="e">
        <f>IF(M$39,54.01,NA())</f>
        <v>#N/A</v>
      </c>
      <c r="N101" s="82" t="e">
        <f>IF(N$39,49.25,NA())</f>
        <v>#N/A</v>
      </c>
      <c r="O101" s="82">
        <f>IF(O$39,41.75,NA())</f>
        <v>41.75</v>
      </c>
      <c r="P101" s="82" t="e">
        <f>IF(P$39,42.99,NA())</f>
        <v>#N/A</v>
      </c>
      <c r="Q101" s="82" t="e">
        <f>IF(Q$39,44.86,NA())</f>
        <v>#N/A</v>
      </c>
      <c r="R101" s="82" t="e">
        <f>IF(R$39,46.07,NA())</f>
        <v>#N/A</v>
      </c>
      <c r="S101" s="82">
        <f>IF(S$39,39.95,NA())</f>
        <v>39.950000000000003</v>
      </c>
      <c r="T101" s="82" t="e">
        <f>IF(T$39,45.09,NA())</f>
        <v>#N/A</v>
      </c>
      <c r="U101" s="82" t="e">
        <f>IF(U$39,35.46,NA())</f>
        <v>#N/A</v>
      </c>
      <c r="V101" s="82" t="e">
        <f>IF(V$39,38.83,NA())</f>
        <v>#N/A</v>
      </c>
      <c r="W101" s="82" t="e">
        <f>IF(W$39,34.18,NA())</f>
        <v>#N/A</v>
      </c>
      <c r="X101" s="82" t="e">
        <f>IF(X$39,38.88,NA())</f>
        <v>#N/A</v>
      </c>
      <c r="Y101" s="82" t="e">
        <f>IF(Y$39,39.85,NA())</f>
        <v>#N/A</v>
      </c>
      <c r="Z101" s="82">
        <f>IF(Z$39,34.25,NA())</f>
        <v>34.25</v>
      </c>
    </row>
    <row r="102" spans="1:26" x14ac:dyDescent="0.3">
      <c r="A102" s="81" t="s">
        <v>141</v>
      </c>
      <c r="B102" s="82">
        <f>IF(B$39,109.45,NA())</f>
        <v>109.45</v>
      </c>
      <c r="C102" s="82">
        <f>IF(C$39,59.36,NA())</f>
        <v>59.36</v>
      </c>
      <c r="D102" s="82">
        <f>IF(D$39,59.58,NA())</f>
        <v>59.58</v>
      </c>
      <c r="E102" s="82">
        <f>IF(E$39,46.36,NA())</f>
        <v>46.36</v>
      </c>
      <c r="F102" s="82">
        <f>IF(F$39,58.96,NA())</f>
        <v>58.96</v>
      </c>
      <c r="G102" s="82" t="e">
        <f>IF(G$39,63.32,NA())</f>
        <v>#N/A</v>
      </c>
      <c r="H102" s="82" t="e">
        <f>IF(H$39,45.81,NA())</f>
        <v>#N/A</v>
      </c>
      <c r="I102" s="82" t="e">
        <f>IF(I$39,54.31,NA())</f>
        <v>#N/A</v>
      </c>
      <c r="J102" s="82">
        <f>IF(J$39,43.67,NA())</f>
        <v>43.67</v>
      </c>
      <c r="K102" s="82" t="e">
        <f>IF(K$39,53.28,NA())</f>
        <v>#N/A</v>
      </c>
      <c r="L102" s="82" t="e">
        <f>IF(L$39,46,NA())</f>
        <v>#N/A</v>
      </c>
      <c r="M102" s="82" t="e">
        <f>IF(M$39,52.78,NA())</f>
        <v>#N/A</v>
      </c>
      <c r="N102" s="82" t="e">
        <f>IF(N$39,47.74,NA())</f>
        <v>#N/A</v>
      </c>
      <c r="O102" s="82">
        <f>IF(O$39,41.36,NA())</f>
        <v>41.36</v>
      </c>
      <c r="P102" s="82" t="e">
        <f>IF(P$39,41.87,NA())</f>
        <v>#N/A</v>
      </c>
      <c r="Q102" s="82" t="e">
        <f>IF(Q$39,44.57,NA())</f>
        <v>#N/A</v>
      </c>
      <c r="R102" s="82" t="e">
        <f>IF(R$39,46.18,NA())</f>
        <v>#N/A</v>
      </c>
      <c r="S102" s="82">
        <f>IF(S$39,41.6,NA())</f>
        <v>41.6</v>
      </c>
      <c r="T102" s="82" t="e">
        <f>IF(T$39,43.08,NA())</f>
        <v>#N/A</v>
      </c>
      <c r="U102" s="82" t="e">
        <f>IF(U$39,35.46,NA())</f>
        <v>#N/A</v>
      </c>
      <c r="V102" s="82" t="e">
        <f>IF(V$39,38.24,NA())</f>
        <v>#N/A</v>
      </c>
      <c r="W102" s="82" t="e">
        <f>IF(W$39,35.88,NA())</f>
        <v>#N/A</v>
      </c>
      <c r="X102" s="82" t="e">
        <f>IF(X$39,38.66,NA())</f>
        <v>#N/A</v>
      </c>
      <c r="Y102" s="82" t="e">
        <f>IF(Y$39,37.73,NA())</f>
        <v>#N/A</v>
      </c>
      <c r="Z102" s="82">
        <f>IF(Z$39,36.22,NA())</f>
        <v>36.22</v>
      </c>
    </row>
    <row r="103" spans="1:26" x14ac:dyDescent="0.3">
      <c r="A103" s="81" t="s">
        <v>142</v>
      </c>
      <c r="B103" s="82">
        <f>IF(B$39,105.58,NA())</f>
        <v>105.58</v>
      </c>
      <c r="C103" s="82">
        <f>IF(C$39,59.36,NA())</f>
        <v>59.36</v>
      </c>
      <c r="D103" s="82">
        <f>IF(D$39,60.42,NA())</f>
        <v>60.42</v>
      </c>
      <c r="E103" s="82">
        <f>IF(E$39,46.36,NA())</f>
        <v>46.36</v>
      </c>
      <c r="F103" s="82">
        <f>IF(F$39,58.33,NA())</f>
        <v>58.33</v>
      </c>
      <c r="G103" s="82" t="e">
        <f>IF(G$39,62.7,NA())</f>
        <v>#N/A</v>
      </c>
      <c r="H103" s="82" t="e">
        <f>IF(H$39,44.72,NA())</f>
        <v>#N/A</v>
      </c>
      <c r="I103" s="82" t="e">
        <f>IF(I$39,52.11,NA())</f>
        <v>#N/A</v>
      </c>
      <c r="J103" s="82">
        <f>IF(J$39,43.99,NA())</f>
        <v>43.99</v>
      </c>
      <c r="K103" s="82" t="e">
        <f>IF(K$39,51.5,NA())</f>
        <v>#N/A</v>
      </c>
      <c r="L103" s="82" t="e">
        <f>IF(L$39,43.32,NA())</f>
        <v>#N/A</v>
      </c>
      <c r="M103" s="82" t="e">
        <f>IF(M$39,50.99,NA())</f>
        <v>#N/A</v>
      </c>
      <c r="N103" s="82" t="e">
        <f>IF(N$39,45.93,NA())</f>
        <v>#N/A</v>
      </c>
      <c r="O103" s="82">
        <f>IF(O$39,40.64,NA())</f>
        <v>40.64</v>
      </c>
      <c r="P103" s="82" t="e">
        <f>IF(P$39,41.87,NA())</f>
        <v>#N/A</v>
      </c>
      <c r="Q103" s="82" t="e">
        <f>IF(Q$39,44.14,NA())</f>
        <v>#N/A</v>
      </c>
      <c r="R103" s="82" t="e">
        <f>IF(R$39,44.66,NA())</f>
        <v>#N/A</v>
      </c>
      <c r="S103" s="82">
        <f>IF(S$39,41.93,NA())</f>
        <v>41.93</v>
      </c>
      <c r="T103" s="82" t="e">
        <f>IF(T$39,42.07,NA())</f>
        <v>#N/A</v>
      </c>
      <c r="U103" s="82" t="e">
        <f>IF(U$39,35.83,NA())</f>
        <v>#N/A</v>
      </c>
      <c r="V103" s="82" t="e">
        <f>IF(V$39,36.86,NA())</f>
        <v>#N/A</v>
      </c>
      <c r="W103" s="82" t="e">
        <f>IF(W$39,36.05,NA())</f>
        <v>#N/A</v>
      </c>
      <c r="X103" s="82" t="e">
        <f>IF(X$39,38.33,NA())</f>
        <v>#N/A</v>
      </c>
      <c r="Y103" s="82" t="e">
        <f>IF(Y$39,35.62,NA())</f>
        <v>#N/A</v>
      </c>
      <c r="Z103" s="82">
        <f>IF(Z$39,34.37,NA())</f>
        <v>34.369999999999997</v>
      </c>
    </row>
    <row r="104" spans="1:26" x14ac:dyDescent="0.3">
      <c r="A104" s="81" t="s">
        <v>143</v>
      </c>
      <c r="B104" s="82">
        <f>IF(B$39,106.64,NA())</f>
        <v>106.64</v>
      </c>
      <c r="C104" s="82">
        <f>IF(C$39,59.72,NA())</f>
        <v>59.72</v>
      </c>
      <c r="D104" s="82">
        <f>IF(D$39,59.09,NA())</f>
        <v>59.09</v>
      </c>
      <c r="E104" s="82">
        <f>IF(E$39,48.35,NA())</f>
        <v>48.35</v>
      </c>
      <c r="F104" s="82">
        <f>IF(F$39,57.94,NA())</f>
        <v>57.94</v>
      </c>
      <c r="G104" s="82" t="e">
        <f>IF(G$39,62.07,NA())</f>
        <v>#N/A</v>
      </c>
      <c r="H104" s="82" t="e">
        <f>IF(H$39,46.36,NA())</f>
        <v>#N/A</v>
      </c>
      <c r="I104" s="82" t="e">
        <f>IF(I$39,52.94,NA())</f>
        <v>#N/A</v>
      </c>
      <c r="J104" s="82">
        <f>IF(J$39,46.75,NA())</f>
        <v>46.75</v>
      </c>
      <c r="K104" s="82" t="e">
        <f>IF(K$39,51.31,NA())</f>
        <v>#N/A</v>
      </c>
      <c r="L104" s="82" t="e">
        <f>IF(L$39,43.77,NA())</f>
        <v>#N/A</v>
      </c>
      <c r="M104" s="82" t="e">
        <f>IF(M$39,50.72,NA())</f>
        <v>#N/A</v>
      </c>
      <c r="N104" s="82" t="e">
        <f>IF(N$39,45.64,NA())</f>
        <v>#N/A</v>
      </c>
      <c r="O104" s="82">
        <f>IF(O$39,41.36,NA())</f>
        <v>41.36</v>
      </c>
      <c r="P104" s="82" t="e">
        <f>IF(P$39,41.26,NA())</f>
        <v>#N/A</v>
      </c>
      <c r="Q104" s="82" t="e">
        <f>IF(Q$39,44.71,NA())</f>
        <v>#N/A</v>
      </c>
      <c r="R104" s="82" t="e">
        <f>IF(R$39,42.93,NA())</f>
        <v>#N/A</v>
      </c>
      <c r="S104" s="82">
        <f>IF(S$39,41.27,NA())</f>
        <v>41.27</v>
      </c>
      <c r="T104" s="82" t="e">
        <f>IF(T$39,41.95,NA())</f>
        <v>#N/A</v>
      </c>
      <c r="U104" s="82" t="e">
        <f>IF(U$39,36.75,NA())</f>
        <v>#N/A</v>
      </c>
      <c r="V104" s="82" t="e">
        <f>IF(V$39,36.86,NA())</f>
        <v>#N/A</v>
      </c>
      <c r="W104" s="82" t="e">
        <f>IF(W$39,36.22,NA())</f>
        <v>#N/A</v>
      </c>
      <c r="X104" s="82" t="e">
        <f>IF(X$39,38.55,NA())</f>
        <v>#N/A</v>
      </c>
      <c r="Y104" s="82" t="e">
        <f>IF(Y$39,32.6,NA())</f>
        <v>#N/A</v>
      </c>
      <c r="Z104" s="82">
        <f>IF(Z$39,34.95,NA())</f>
        <v>34.950000000000003</v>
      </c>
    </row>
    <row r="105" spans="1:26" x14ac:dyDescent="0.3">
      <c r="A105" s="81" t="s">
        <v>144</v>
      </c>
      <c r="B105" s="82">
        <f>IF(B$39,101.54,NA())</f>
        <v>101.54</v>
      </c>
      <c r="C105" s="82">
        <f>IF(C$39,59.54,NA())</f>
        <v>59.54</v>
      </c>
      <c r="D105" s="82">
        <f>IF(D$39,58.61,NA())</f>
        <v>58.61</v>
      </c>
      <c r="E105" s="82">
        <f>IF(E$39,49.68,NA())</f>
        <v>49.68</v>
      </c>
      <c r="F105" s="82">
        <f>IF(F$39,58.26,NA())</f>
        <v>58.26</v>
      </c>
      <c r="G105" s="82" t="e">
        <f>IF(G$39,61.69,NA())</f>
        <v>#N/A</v>
      </c>
      <c r="H105" s="82" t="e">
        <f>IF(H$39,47.74,NA())</f>
        <v>#N/A</v>
      </c>
      <c r="I105" s="82" t="e">
        <f>IF(I$39,52.66,NA())</f>
        <v>#N/A</v>
      </c>
      <c r="J105" s="82">
        <f>IF(J$39,47.49,NA())</f>
        <v>47.49</v>
      </c>
      <c r="K105" s="82" t="e">
        <f>IF(K$39,49.33,NA())</f>
        <v>#N/A</v>
      </c>
      <c r="L105" s="82" t="e">
        <f>IF(L$39,44.51,NA())</f>
        <v>#N/A</v>
      </c>
      <c r="M105" s="82" t="e">
        <f>IF(M$39,49.49,NA())</f>
        <v>#N/A</v>
      </c>
      <c r="N105" s="82" t="e">
        <f>IF(N$39,44.49,NA())</f>
        <v>#N/A</v>
      </c>
      <c r="O105" s="82">
        <f>IF(O$39,41.11,NA())</f>
        <v>41.11</v>
      </c>
      <c r="P105" s="82" t="e">
        <f>IF(P$39,39.73,NA())</f>
        <v>#N/A</v>
      </c>
      <c r="Q105" s="82" t="e">
        <f>IF(Q$39,44.86,NA())</f>
        <v>#N/A</v>
      </c>
      <c r="R105" s="82" t="e">
        <f>IF(R$39,41.85,NA())</f>
        <v>#N/A</v>
      </c>
      <c r="S105" s="82">
        <f>IF(S$39,41.93,NA())</f>
        <v>41.93</v>
      </c>
      <c r="T105" s="82" t="e">
        <f>IF(T$39,40.06,NA())</f>
        <v>#N/A</v>
      </c>
      <c r="U105" s="82" t="e">
        <f>IF(U$39,36.48,NA())</f>
        <v>#N/A</v>
      </c>
      <c r="V105" s="82" t="e">
        <f>IF(V$39,35.09,NA())</f>
        <v>#N/A</v>
      </c>
      <c r="W105" s="82" t="e">
        <f>IF(W$39,36.9,NA())</f>
        <v>#N/A</v>
      </c>
      <c r="X105" s="82" t="e">
        <f>IF(X$39,37.56,NA())</f>
        <v>#N/A</v>
      </c>
      <c r="Y105" s="82" t="e">
        <f>IF(Y$39,32.6,NA())</f>
        <v>#N/A</v>
      </c>
      <c r="Z105" s="82">
        <f>IF(Z$39,34.49,NA())</f>
        <v>34.49</v>
      </c>
    </row>
    <row r="106" spans="1:26" x14ac:dyDescent="0.3">
      <c r="A106" s="81" t="s">
        <v>145</v>
      </c>
      <c r="B106" s="82">
        <f>IF(B$39,99.25,NA())</f>
        <v>99.25</v>
      </c>
      <c r="C106" s="82">
        <f>IF(C$39,58.64,NA())</f>
        <v>58.64</v>
      </c>
      <c r="D106" s="82">
        <f>IF(D$39,56.67,NA())</f>
        <v>56.67</v>
      </c>
      <c r="E106" s="82">
        <f>IF(E$39,50.48,NA())</f>
        <v>50.48</v>
      </c>
      <c r="F106" s="82">
        <f>IF(F$39,59.41,NA())</f>
        <v>59.41</v>
      </c>
      <c r="G106" s="82" t="e">
        <f>IF(G$39,59.56,NA())</f>
        <v>#N/A</v>
      </c>
      <c r="H106" s="82" t="e">
        <f>IF(H$39,49.24,NA())</f>
        <v>#N/A</v>
      </c>
      <c r="I106" s="82" t="e">
        <f>IF(I$39,51.56,NA())</f>
        <v>#N/A</v>
      </c>
      <c r="J106" s="82">
        <f>IF(J$39,46.75,NA())</f>
        <v>46.75</v>
      </c>
      <c r="K106" s="82" t="e">
        <f>IF(K$39,47.56,NA())</f>
        <v>#N/A</v>
      </c>
      <c r="L106" s="82" t="e">
        <f>IF(L$39,44.06,NA())</f>
        <v>#N/A</v>
      </c>
      <c r="M106" s="82" t="e">
        <f>IF(M$39,50.17,NA())</f>
        <v>#N/A</v>
      </c>
      <c r="N106" s="82" t="e">
        <f>IF(N$39,43.69,NA())</f>
        <v>#N/A</v>
      </c>
      <c r="O106" s="82">
        <f>IF(O$39,40.51,NA())</f>
        <v>40.51</v>
      </c>
      <c r="P106" s="82" t="e">
        <f>IF(P$39,39.73,NA())</f>
        <v>#N/A</v>
      </c>
      <c r="Q106" s="82" t="e">
        <f>IF(Q$39,43,NA())</f>
        <v>#N/A</v>
      </c>
      <c r="R106" s="82" t="e">
        <f>IF(R$39,39.04,NA())</f>
        <v>#N/A</v>
      </c>
      <c r="S106" s="82">
        <f>IF(S$39,42.26,NA())</f>
        <v>42.26</v>
      </c>
      <c r="T106" s="82" t="e">
        <f>IF(T$39,39.05,NA())</f>
        <v>#N/A</v>
      </c>
      <c r="U106" s="82" t="e">
        <f>IF(U$39,35.83,NA())</f>
        <v>#N/A</v>
      </c>
      <c r="V106" s="82" t="e">
        <f>IF(V$39,34.69,NA())</f>
        <v>#N/A</v>
      </c>
      <c r="W106" s="82" t="e">
        <f>IF(W$39,36.56,NA())</f>
        <v>#N/A</v>
      </c>
      <c r="X106" s="82" t="e">
        <f>IF(X$39,36.35,NA())</f>
        <v>#N/A</v>
      </c>
      <c r="Y106" s="82" t="e">
        <f>IF(Y$39,32,NA())</f>
        <v>#N/A</v>
      </c>
      <c r="Z106" s="82">
        <f>IF(Z$39,33.91,NA())</f>
        <v>33.909999999999997</v>
      </c>
    </row>
    <row r="107" spans="1:26" x14ac:dyDescent="0.3">
      <c r="A107" s="81" t="s">
        <v>146</v>
      </c>
      <c r="B107" s="82">
        <f>IF(B$39,93.27,NA())</f>
        <v>93.27</v>
      </c>
      <c r="C107" s="82">
        <f>IF(C$39,57.56,NA())</f>
        <v>57.56</v>
      </c>
      <c r="D107" s="82">
        <f>IF(D$39,56.07,NA())</f>
        <v>56.07</v>
      </c>
      <c r="E107" s="82">
        <f>IF(E$39,49.42,NA())</f>
        <v>49.42</v>
      </c>
      <c r="F107" s="82">
        <f>IF(F$39,58.9,NA())</f>
        <v>58.9</v>
      </c>
      <c r="G107" s="82" t="e">
        <f>IF(G$39,58.8,NA())</f>
        <v>#N/A</v>
      </c>
      <c r="H107" s="82" t="e">
        <f>IF(H$39,49.79,NA())</f>
        <v>#N/A</v>
      </c>
      <c r="I107" s="82" t="e">
        <f>IF(I$39,49.08,NA())</f>
        <v>#N/A</v>
      </c>
      <c r="J107" s="82">
        <f>IF(J$39,46.43,NA())</f>
        <v>46.43</v>
      </c>
      <c r="K107" s="82" t="e">
        <f>IF(K$39,48.15,NA())</f>
        <v>#N/A</v>
      </c>
      <c r="L107" s="82" t="e">
        <f>IF(L$39,43.77,NA())</f>
        <v>#N/A</v>
      </c>
      <c r="M107" s="82" t="e">
        <f>IF(M$39,48.25,NA())</f>
        <v>#N/A</v>
      </c>
      <c r="N107" s="82" t="e">
        <f>IF(N$39,42.9,NA())</f>
        <v>#N/A</v>
      </c>
      <c r="O107" s="82">
        <f>IF(O$39,40.17,NA())</f>
        <v>40.17</v>
      </c>
      <c r="P107" s="82" t="e">
        <f>IF(P$39,39.53,NA())</f>
        <v>#N/A</v>
      </c>
      <c r="Q107" s="82" t="e">
        <f>IF(Q$39,42.29,NA())</f>
        <v>#N/A</v>
      </c>
      <c r="R107" s="82" t="e">
        <f>IF(R$39,38.17,NA())</f>
        <v>#N/A</v>
      </c>
      <c r="S107" s="82">
        <f>IF(S$39,39.62,NA())</f>
        <v>39.619999999999997</v>
      </c>
      <c r="T107" s="82" t="e">
        <f>IF(T$39,38.42,NA())</f>
        <v>#N/A</v>
      </c>
      <c r="U107" s="82" t="e">
        <f>IF(U$39,36.29,NA())</f>
        <v>#N/A</v>
      </c>
      <c r="V107" s="82" t="e">
        <f>IF(V$39,32.92,NA())</f>
        <v>#N/A</v>
      </c>
      <c r="W107" s="82" t="e">
        <f>IF(W$39,34.52,NA())</f>
        <v>#N/A</v>
      </c>
      <c r="X107" s="82" t="e">
        <f>IF(X$39,36.9,NA())</f>
        <v>#N/A</v>
      </c>
      <c r="Y107" s="82" t="e">
        <f>IF(Y$39,31.39,NA())</f>
        <v>#N/A</v>
      </c>
      <c r="Z107" s="82">
        <f>IF(Z$39,32.87,NA())</f>
        <v>32.869999999999997</v>
      </c>
    </row>
    <row r="108" spans="1:26" x14ac:dyDescent="0.3">
      <c r="A108" s="81" t="s">
        <v>147</v>
      </c>
      <c r="B108" s="82">
        <f>IF(B$39,89.75,NA())</f>
        <v>89.75</v>
      </c>
      <c r="C108" s="82">
        <f>IF(C$39,58.28,NA())</f>
        <v>58.28</v>
      </c>
      <c r="D108" s="82">
        <f>IF(D$39,56.8,NA())</f>
        <v>56.8</v>
      </c>
      <c r="E108" s="82">
        <f>IF(E$39,51.94,NA())</f>
        <v>51.94</v>
      </c>
      <c r="F108" s="82">
        <f>IF(F$39,56.55,NA())</f>
        <v>56.55</v>
      </c>
      <c r="G108" s="82" t="e">
        <f>IF(G$39,59.56,NA())</f>
        <v>#N/A</v>
      </c>
      <c r="H108" s="82" t="e">
        <f>IF(H$39,48.42,NA())</f>
        <v>#N/A</v>
      </c>
      <c r="I108" s="82" t="e">
        <f>IF(I$39,47.42,NA())</f>
        <v>#N/A</v>
      </c>
      <c r="J108" s="82">
        <f>IF(J$39,45.05,NA())</f>
        <v>45.05</v>
      </c>
      <c r="K108" s="82" t="e">
        <f>IF(K$39,47.36,NA())</f>
        <v>#N/A</v>
      </c>
      <c r="L108" s="82" t="e">
        <f>IF(L$39,44.06,NA())</f>
        <v>#N/A</v>
      </c>
      <c r="M108" s="82" t="e">
        <f>IF(M$39,46.88,NA())</f>
        <v>#N/A</v>
      </c>
      <c r="N108" s="82" t="e">
        <f>IF(N$39,43.33,NA())</f>
        <v>#N/A</v>
      </c>
      <c r="O108" s="82">
        <f>IF(O$39,39.91,NA())</f>
        <v>39.909999999999997</v>
      </c>
      <c r="P108" s="82" t="e">
        <f>IF(P$39,39.12,NA())</f>
        <v>#N/A</v>
      </c>
      <c r="Q108" s="82" t="e">
        <f>IF(Q$39,40.44,NA())</f>
        <v>#N/A</v>
      </c>
      <c r="R108" s="82" t="e">
        <f>IF(R$39,38.17,NA())</f>
        <v>#N/A</v>
      </c>
      <c r="S108" s="82">
        <f>IF(S$39,38.29,NA())</f>
        <v>38.29</v>
      </c>
      <c r="T108" s="82" t="e">
        <f>IF(T$39,37.41,NA())</f>
        <v>#N/A</v>
      </c>
      <c r="U108" s="82" t="e">
        <f>IF(U$39,35.27,NA())</f>
        <v>#N/A</v>
      </c>
      <c r="V108" s="82" t="e">
        <f>IF(V$39,33.91,NA())</f>
        <v>#N/A</v>
      </c>
      <c r="W108" s="82" t="e">
        <f>IF(W$39,34.52,NA())</f>
        <v>#N/A</v>
      </c>
      <c r="X108" s="82" t="e">
        <f>IF(X$39,36.68,NA())</f>
        <v>#N/A</v>
      </c>
      <c r="Y108" s="82" t="e">
        <f>IF(Y$39,32.3,NA())</f>
        <v>#N/A</v>
      </c>
      <c r="Z108" s="82">
        <f>IF(Z$39,33.33,NA())</f>
        <v>33.33</v>
      </c>
    </row>
    <row r="109" spans="1:26" x14ac:dyDescent="0.3">
      <c r="A109" s="81" t="s">
        <v>148</v>
      </c>
      <c r="B109" s="82">
        <f>IF(B$39,88.16,NA())</f>
        <v>88.16</v>
      </c>
      <c r="C109" s="82">
        <f>IF(C$39,59.54,NA())</f>
        <v>59.54</v>
      </c>
      <c r="D109" s="82">
        <f>IF(D$39,56.43,NA())</f>
        <v>56.43</v>
      </c>
      <c r="E109" s="82">
        <f>IF(E$39,53.67,NA())</f>
        <v>53.67</v>
      </c>
      <c r="F109" s="82">
        <f>IF(F$39,55.85,NA())</f>
        <v>55.85</v>
      </c>
      <c r="G109" s="82" t="e">
        <f>IF(G$39,56.54,NA())</f>
        <v>#N/A</v>
      </c>
      <c r="H109" s="82" t="e">
        <f>IF(H$39,49.52,NA())</f>
        <v>#N/A</v>
      </c>
      <c r="I109" s="82" t="e">
        <f>IF(I$39,48.52,NA())</f>
        <v>#N/A</v>
      </c>
      <c r="J109" s="82">
        <f>IF(J$39,46.22,NA())</f>
        <v>46.22</v>
      </c>
      <c r="K109" s="82" t="e">
        <f>IF(K$39,46.97,NA())</f>
        <v>#N/A</v>
      </c>
      <c r="L109" s="82" t="e">
        <f>IF(L$39,44.81,NA())</f>
        <v>#N/A</v>
      </c>
      <c r="M109" s="82" t="e">
        <f>IF(M$39,44.14,NA())</f>
        <v>#N/A</v>
      </c>
      <c r="N109" s="82" t="e">
        <f>IF(N$39,42.39,NA())</f>
        <v>#N/A</v>
      </c>
      <c r="O109" s="82">
        <f>IF(O$39,39.61,NA())</f>
        <v>39.61</v>
      </c>
      <c r="P109" s="82" t="e">
        <f>IF(P$39,38.71,NA())</f>
        <v>#N/A</v>
      </c>
      <c r="Q109" s="82" t="e">
        <f>IF(Q$39,39.59,NA())</f>
        <v>#N/A</v>
      </c>
      <c r="R109" s="82" t="e">
        <f>IF(R$39,38.06,NA())</f>
        <v>#N/A</v>
      </c>
      <c r="S109" s="82">
        <f>IF(S$39,38.29,NA())</f>
        <v>38.29</v>
      </c>
      <c r="T109" s="82" t="e">
        <f>IF(T$39,37.16,NA())</f>
        <v>#N/A</v>
      </c>
      <c r="U109" s="82" t="e">
        <f>IF(U$39,35.27,NA())</f>
        <v>#N/A</v>
      </c>
      <c r="V109" s="82" t="e">
        <f>IF(V$39,35.48,NA())</f>
        <v>#N/A</v>
      </c>
      <c r="W109" s="82" t="e">
        <f>IF(W$39,34.52,NA())</f>
        <v>#N/A</v>
      </c>
      <c r="X109" s="82" t="e">
        <f>IF(X$39,35.58,NA())</f>
        <v>#N/A</v>
      </c>
      <c r="Y109" s="82" t="e">
        <f>IF(Y$39,33.51,NA())</f>
        <v>#N/A</v>
      </c>
      <c r="Z109" s="82">
        <f>IF(Z$39,33.68,NA())</f>
        <v>33.68</v>
      </c>
    </row>
    <row r="110" spans="1:26" x14ac:dyDescent="0.3">
      <c r="A110" s="81" t="s">
        <v>149</v>
      </c>
      <c r="B110" s="82">
        <f>IF(B$39,87.63,NA())</f>
        <v>87.63</v>
      </c>
      <c r="C110" s="82">
        <f>IF(C$39,57.92,NA())</f>
        <v>57.92</v>
      </c>
      <c r="D110" s="82">
        <f>IF(D$39,57.16,NA())</f>
        <v>57.16</v>
      </c>
      <c r="E110" s="82">
        <f>IF(E$39,55.4,NA())</f>
        <v>55.4</v>
      </c>
      <c r="F110" s="82">
        <f>IF(F$39,55.28,NA())</f>
        <v>55.28</v>
      </c>
      <c r="G110" s="82" t="e">
        <f>IF(G$39,53.15,NA())</f>
        <v>#N/A</v>
      </c>
      <c r="H110" s="82" t="e">
        <f>IF(H$39,50.75,NA())</f>
        <v>#N/A</v>
      </c>
      <c r="I110" s="82" t="e">
        <f>IF(I$39,48.52,NA())</f>
        <v>#N/A</v>
      </c>
      <c r="J110" s="82">
        <f>IF(J$39,46.22,NA())</f>
        <v>46.22</v>
      </c>
      <c r="K110" s="82" t="e">
        <f>IF(K$39,45.98,NA())</f>
        <v>#N/A</v>
      </c>
      <c r="L110" s="82" t="e">
        <f>IF(L$39,45.85,NA())</f>
        <v>#N/A</v>
      </c>
      <c r="M110" s="82" t="e">
        <f>IF(M$39,42.22,NA())</f>
        <v>#N/A</v>
      </c>
      <c r="N110" s="82" t="e">
        <f>IF(N$39,42.03,NA())</f>
        <v>#N/A</v>
      </c>
      <c r="O110" s="82">
        <f>IF(O$39,39.36,NA())</f>
        <v>39.36</v>
      </c>
      <c r="P110" s="82" t="e">
        <f>IF(P$39,39.22,NA())</f>
        <v>#N/A</v>
      </c>
      <c r="Q110" s="82" t="e">
        <f>IF(Q$39,38.45,NA())</f>
        <v>#N/A</v>
      </c>
      <c r="R110" s="82" t="e">
        <f>IF(R$39,36.77,NA())</f>
        <v>#N/A</v>
      </c>
      <c r="S110" s="82">
        <f>IF(S$39,36.64,NA())</f>
        <v>36.64</v>
      </c>
      <c r="T110" s="82" t="e">
        <f>IF(T$39,36.03,NA())</f>
        <v>#N/A</v>
      </c>
      <c r="U110" s="82" t="e">
        <f>IF(U$39,36.01,NA())</f>
        <v>#N/A</v>
      </c>
      <c r="V110" s="82" t="e">
        <f>IF(V$39,35.48,NA())</f>
        <v>#N/A</v>
      </c>
      <c r="W110" s="82" t="e">
        <f>IF(W$39,35.37,NA())</f>
        <v>#N/A</v>
      </c>
      <c r="X110" s="82" t="e">
        <f>IF(X$39,35.36,NA())</f>
        <v>#N/A</v>
      </c>
      <c r="Y110" s="82" t="e">
        <f>IF(Y$39,34.41,NA())</f>
        <v>#N/A</v>
      </c>
      <c r="Z110" s="82">
        <f>IF(Z$39,34.02,NA())</f>
        <v>34.020000000000003</v>
      </c>
    </row>
    <row r="111" spans="1:26" x14ac:dyDescent="0.3">
      <c r="A111" s="81" t="s">
        <v>150</v>
      </c>
      <c r="B111" s="82" t="e">
        <f>NA()</f>
        <v>#N/A</v>
      </c>
      <c r="C111" s="82">
        <f>IF(C$39,61.88,NA())</f>
        <v>61.88</v>
      </c>
      <c r="D111" s="82" t="e">
        <f>NA()</f>
        <v>#N/A</v>
      </c>
      <c r="E111" s="82" t="e">
        <f>NA()</f>
        <v>#N/A</v>
      </c>
      <c r="F111" s="82" t="e">
        <f>NA()</f>
        <v>#N/A</v>
      </c>
      <c r="G111" s="82" t="e">
        <f>NA()</f>
        <v>#N/A</v>
      </c>
      <c r="H111" s="82" t="e">
        <f>NA()</f>
        <v>#N/A</v>
      </c>
      <c r="I111" s="82" t="e">
        <f>NA()</f>
        <v>#N/A</v>
      </c>
      <c r="J111" s="82" t="e">
        <f>NA()</f>
        <v>#N/A</v>
      </c>
      <c r="K111" s="82" t="e">
        <f>NA()</f>
        <v>#N/A</v>
      </c>
      <c r="L111" s="82" t="e">
        <f>NA()</f>
        <v>#N/A</v>
      </c>
      <c r="M111" s="82" t="e">
        <f>NA()</f>
        <v>#N/A</v>
      </c>
      <c r="N111" s="82" t="e">
        <f>NA()</f>
        <v>#N/A</v>
      </c>
      <c r="O111" s="82" t="e">
        <f>NA()</f>
        <v>#N/A</v>
      </c>
      <c r="P111" s="82" t="e">
        <f>NA()</f>
        <v>#N/A</v>
      </c>
      <c r="Q111" s="82" t="e">
        <f>NA()</f>
        <v>#N/A</v>
      </c>
      <c r="R111" s="82" t="e">
        <f>NA()</f>
        <v>#N/A</v>
      </c>
      <c r="S111" s="82" t="e">
        <f>NA()</f>
        <v>#N/A</v>
      </c>
      <c r="T111" s="82" t="e">
        <f>NA()</f>
        <v>#N/A</v>
      </c>
      <c r="U111" s="82" t="e">
        <f>NA()</f>
        <v>#N/A</v>
      </c>
      <c r="V111" s="82" t="e">
        <f>NA()</f>
        <v>#N/A</v>
      </c>
      <c r="W111" s="82" t="e">
        <f>NA()</f>
        <v>#N/A</v>
      </c>
      <c r="X111" s="82" t="e">
        <f>NA()</f>
        <v>#N/A</v>
      </c>
      <c r="Y111" s="82" t="e">
        <f>NA()</f>
        <v>#N/A</v>
      </c>
      <c r="Z111" s="82" t="e">
        <f>NA()</f>
        <v>#N/A</v>
      </c>
    </row>
  </sheetData>
  <dataValidations count="1">
    <dataValidation type="list" allowBlank="1" sqref="B39:Z39" xr:uid="{00000000-0002-0000-0200-000000000000}">
      <formula1>"TRUE,FALSE"</formula1>
    </dataValidation>
  </dataValidations>
  <pageMargins left="0.75" right="0.75" top="1" bottom="1" header="0.5" footer="0.5"/>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135"/>
  <sheetViews>
    <sheetView showGridLines="0" workbookViewId="0">
      <pane ySplit="5" topLeftCell="A6" activePane="bottomLeft" state="frozen"/>
      <selection pane="bottomLeft"/>
    </sheetView>
  </sheetViews>
  <sheetFormatPr defaultRowHeight="14.4" x14ac:dyDescent="0.3"/>
  <cols>
    <col min="1" max="1" width="8" customWidth="1"/>
    <col min="2" max="2" width="30" customWidth="1"/>
    <col min="3" max="3" width="22" customWidth="1"/>
    <col min="4" max="4" width="16" customWidth="1"/>
    <col min="5" max="6" width="18" customWidth="1"/>
    <col min="7" max="7" width="14" customWidth="1"/>
  </cols>
  <sheetData>
    <row r="1" spans="1:7" ht="17.399999999999999" customHeight="1" x14ac:dyDescent="0.3">
      <c r="A1" s="1" t="s">
        <v>247</v>
      </c>
    </row>
    <row r="2" spans="1:7" x14ac:dyDescent="0.3">
      <c r="A2" s="2" t="s">
        <v>248</v>
      </c>
    </row>
    <row r="3" spans="1:7" x14ac:dyDescent="0.3">
      <c r="A3" s="2" t="s">
        <v>2</v>
      </c>
    </row>
    <row r="5" spans="1:7" ht="36" customHeight="1" x14ac:dyDescent="0.3">
      <c r="A5" s="6" t="s">
        <v>3</v>
      </c>
      <c r="B5" s="6" t="s">
        <v>4</v>
      </c>
      <c r="C5" s="6" t="s">
        <v>5</v>
      </c>
      <c r="D5" s="6" t="s">
        <v>6</v>
      </c>
      <c r="E5" s="6" t="s">
        <v>7</v>
      </c>
      <c r="F5" s="6" t="s">
        <v>8</v>
      </c>
      <c r="G5" s="6" t="s">
        <v>9</v>
      </c>
    </row>
    <row r="6" spans="1:7" x14ac:dyDescent="0.3">
      <c r="A6" s="16">
        <v>1</v>
      </c>
      <c r="B6" s="17" t="s">
        <v>10</v>
      </c>
      <c r="C6" s="17" t="s">
        <v>11</v>
      </c>
      <c r="D6" s="18">
        <f>'CDC Source Data'!D31</f>
        <v>568271</v>
      </c>
      <c r="E6" s="18">
        <f>'CDC Source Data'!E31</f>
        <v>498</v>
      </c>
      <c r="F6" s="19">
        <f t="shared" ref="F6:F37" si="0">E6/D6*100000</f>
        <v>87.634244928915962</v>
      </c>
      <c r="G6" s="20">
        <f>'CDC Source Data'!F31</f>
        <v>0.23</v>
      </c>
    </row>
    <row r="7" spans="1:7" x14ac:dyDescent="0.3">
      <c r="A7" s="16">
        <v>2</v>
      </c>
      <c r="B7" s="17" t="s">
        <v>249</v>
      </c>
      <c r="C7" s="17" t="s">
        <v>29</v>
      </c>
      <c r="D7" s="18">
        <f>'CDC Source Data'!D495</f>
        <v>157765</v>
      </c>
      <c r="E7" s="18">
        <f>'CDC Source Data'!E495</f>
        <v>104</v>
      </c>
      <c r="F7" s="19">
        <f t="shared" si="0"/>
        <v>65.920831616645017</v>
      </c>
      <c r="G7" s="20">
        <f>'CDC Source Data'!F495</f>
        <v>0.06</v>
      </c>
    </row>
    <row r="8" spans="1:7" x14ac:dyDescent="0.3">
      <c r="A8" s="16">
        <v>3</v>
      </c>
      <c r="B8" s="17" t="s">
        <v>229</v>
      </c>
      <c r="C8" s="17" t="s">
        <v>230</v>
      </c>
      <c r="D8" s="18">
        <f>'CDC Source Data'!D533</f>
        <v>279695</v>
      </c>
      <c r="E8" s="18">
        <f>'CDC Source Data'!E533</f>
        <v>180</v>
      </c>
      <c r="F8" s="19">
        <f t="shared" si="0"/>
        <v>64.355816156885169</v>
      </c>
      <c r="G8" s="20">
        <f>'CDC Source Data'!F533</f>
        <v>0</v>
      </c>
    </row>
    <row r="9" spans="1:7" x14ac:dyDescent="0.3">
      <c r="A9" s="16">
        <v>4</v>
      </c>
      <c r="B9" s="17" t="s">
        <v>231</v>
      </c>
      <c r="C9" s="17" t="s">
        <v>232</v>
      </c>
      <c r="D9" s="18">
        <f>'CDC Source Data'!D20</f>
        <v>289600</v>
      </c>
      <c r="E9" s="18">
        <f>'CDC Source Data'!E20</f>
        <v>184</v>
      </c>
      <c r="F9" s="19">
        <f t="shared" si="0"/>
        <v>63.535911602209943</v>
      </c>
      <c r="G9" s="20">
        <f>'CDC Source Data'!F20</f>
        <v>0</v>
      </c>
    </row>
    <row r="10" spans="1:7" x14ac:dyDescent="0.3">
      <c r="A10" s="16">
        <v>5</v>
      </c>
      <c r="B10" s="17" t="s">
        <v>233</v>
      </c>
      <c r="C10" s="17" t="s">
        <v>15</v>
      </c>
      <c r="D10" s="18">
        <f>'CDC Source Data'!D75</f>
        <v>208334</v>
      </c>
      <c r="E10" s="18">
        <f>'CDC Source Data'!E75</f>
        <v>127</v>
      </c>
      <c r="F10" s="19">
        <f t="shared" si="0"/>
        <v>60.959804928624237</v>
      </c>
      <c r="G10" s="20">
        <f>'CDC Source Data'!F75</f>
        <v>0.09</v>
      </c>
    </row>
    <row r="11" spans="1:7" x14ac:dyDescent="0.3">
      <c r="A11" s="21">
        <v>6</v>
      </c>
      <c r="B11" s="22" t="s">
        <v>12</v>
      </c>
      <c r="C11" s="22" t="s">
        <v>13</v>
      </c>
      <c r="D11" s="23">
        <f>'CDC Source Data'!D523</f>
        <v>555947</v>
      </c>
      <c r="E11" s="23">
        <f>'CDC Source Data'!E523</f>
        <v>322</v>
      </c>
      <c r="F11" s="24">
        <f t="shared" si="0"/>
        <v>57.919190138628331</v>
      </c>
      <c r="G11" s="25">
        <f>'CDC Source Data'!F523</f>
        <v>0.02</v>
      </c>
    </row>
    <row r="12" spans="1:7" x14ac:dyDescent="0.3">
      <c r="A12" s="16">
        <v>7</v>
      </c>
      <c r="B12" s="17" t="s">
        <v>14</v>
      </c>
      <c r="C12" s="17" t="s">
        <v>15</v>
      </c>
      <c r="D12" s="18">
        <f>'CDC Source Data'!D485</f>
        <v>827526</v>
      </c>
      <c r="E12" s="18">
        <f>'CDC Source Data'!E485</f>
        <v>473</v>
      </c>
      <c r="F12" s="19">
        <f t="shared" si="0"/>
        <v>57.15832493480567</v>
      </c>
      <c r="G12" s="20">
        <f>'CDC Source Data'!F485</f>
        <v>0.02</v>
      </c>
    </row>
    <row r="13" spans="1:7" x14ac:dyDescent="0.3">
      <c r="A13" s="16">
        <v>8</v>
      </c>
      <c r="B13" s="17" t="s">
        <v>16</v>
      </c>
      <c r="C13" s="17" t="s">
        <v>17</v>
      </c>
      <c r="D13" s="18">
        <f>'CDC Source Data'!D174</f>
        <v>752772</v>
      </c>
      <c r="E13" s="18">
        <f>'CDC Source Data'!E174</f>
        <v>417</v>
      </c>
      <c r="F13" s="19">
        <f t="shared" si="0"/>
        <v>55.395259122284038</v>
      </c>
      <c r="G13" s="20">
        <f>'CDC Source Data'!F174</f>
        <v>0.03</v>
      </c>
    </row>
    <row r="14" spans="1:7" x14ac:dyDescent="0.3">
      <c r="A14" s="16">
        <v>9</v>
      </c>
      <c r="B14" s="17" t="s">
        <v>18</v>
      </c>
      <c r="C14" s="17" t="s">
        <v>19</v>
      </c>
      <c r="D14" s="18">
        <f>'CDC Source Data'!D436</f>
        <v>1573916</v>
      </c>
      <c r="E14" s="18">
        <f>'CDC Source Data'!E436</f>
        <v>870</v>
      </c>
      <c r="F14" s="19">
        <f t="shared" si="0"/>
        <v>55.27613926029089</v>
      </c>
      <c r="G14" s="20">
        <f>'CDC Source Data'!F436</f>
        <v>1.37</v>
      </c>
    </row>
    <row r="15" spans="1:7" x14ac:dyDescent="0.3">
      <c r="A15" s="16">
        <v>10</v>
      </c>
      <c r="B15" s="17" t="s">
        <v>20</v>
      </c>
      <c r="C15" s="17" t="s">
        <v>21</v>
      </c>
      <c r="D15" s="18">
        <f>'CDC Source Data'!D389</f>
        <v>795897</v>
      </c>
      <c r="E15" s="18">
        <f>'CDC Source Data'!E389</f>
        <v>423</v>
      </c>
      <c r="F15" s="19">
        <f t="shared" si="0"/>
        <v>53.147580654280638</v>
      </c>
      <c r="G15" s="20">
        <f>'CDC Source Data'!F389</f>
        <v>1.87</v>
      </c>
    </row>
    <row r="16" spans="1:7" x14ac:dyDescent="0.3">
      <c r="A16" s="16">
        <v>11</v>
      </c>
      <c r="B16" s="17" t="s">
        <v>22</v>
      </c>
      <c r="C16" s="17" t="s">
        <v>17</v>
      </c>
      <c r="D16" s="18">
        <f>'CDC Source Data'!D155</f>
        <v>729019</v>
      </c>
      <c r="E16" s="18">
        <f>'CDC Source Data'!E155</f>
        <v>370</v>
      </c>
      <c r="F16" s="19">
        <f t="shared" si="0"/>
        <v>50.753135377815944</v>
      </c>
      <c r="G16" s="20">
        <f>'CDC Source Data'!F155</f>
        <v>0.02</v>
      </c>
    </row>
    <row r="17" spans="1:7" x14ac:dyDescent="0.3">
      <c r="A17" s="16">
        <v>12</v>
      </c>
      <c r="B17" s="17" t="s">
        <v>23</v>
      </c>
      <c r="C17" s="17" t="s">
        <v>24</v>
      </c>
      <c r="D17" s="18">
        <f>'CDC Source Data'!D422</f>
        <v>362701</v>
      </c>
      <c r="E17" s="18">
        <f>'CDC Source Data'!E422</f>
        <v>176</v>
      </c>
      <c r="F17" s="19">
        <f t="shared" si="0"/>
        <v>48.52481796300534</v>
      </c>
      <c r="G17" s="20">
        <f>'CDC Source Data'!F422</f>
        <v>0.03</v>
      </c>
    </row>
    <row r="18" spans="1:7" x14ac:dyDescent="0.3">
      <c r="A18" s="16">
        <v>13</v>
      </c>
      <c r="B18" s="17" t="s">
        <v>250</v>
      </c>
      <c r="C18" s="17" t="s">
        <v>15</v>
      </c>
      <c r="D18" s="18">
        <f>'CDC Source Data'!D252</f>
        <v>132380</v>
      </c>
      <c r="E18" s="18">
        <f>'CDC Source Data'!E252</f>
        <v>63</v>
      </c>
      <c r="F18" s="19">
        <f t="shared" si="0"/>
        <v>47.590270433600246</v>
      </c>
      <c r="G18" s="20">
        <f>'CDC Source Data'!F252</f>
        <v>0</v>
      </c>
    </row>
    <row r="19" spans="1:7" x14ac:dyDescent="0.3">
      <c r="A19" s="26">
        <v>14</v>
      </c>
      <c r="B19" s="27" t="s">
        <v>234</v>
      </c>
      <c r="C19" s="27" t="s">
        <v>13</v>
      </c>
      <c r="D19" s="28">
        <f>'CDC Source Data'!D618</f>
        <v>258523</v>
      </c>
      <c r="E19" s="28">
        <f>'CDC Source Data'!E618</f>
        <v>123</v>
      </c>
      <c r="F19" s="29">
        <f t="shared" si="0"/>
        <v>47.577971785875917</v>
      </c>
      <c r="G19" s="30">
        <f>'CDC Source Data'!F618</f>
        <v>0.22</v>
      </c>
    </row>
    <row r="20" spans="1:7" x14ac:dyDescent="0.3">
      <c r="A20" s="16">
        <v>15</v>
      </c>
      <c r="B20" s="17" t="s">
        <v>235</v>
      </c>
      <c r="C20" s="17" t="s">
        <v>43</v>
      </c>
      <c r="D20" s="18">
        <f>'CDC Source Data'!D372</f>
        <v>226479</v>
      </c>
      <c r="E20" s="18">
        <f>'CDC Source Data'!E372</f>
        <v>107</v>
      </c>
      <c r="F20" s="19">
        <f t="shared" si="0"/>
        <v>47.244998432525755</v>
      </c>
      <c r="G20" s="20">
        <f>'CDC Source Data'!F372</f>
        <v>0.15</v>
      </c>
    </row>
    <row r="21" spans="1:7" x14ac:dyDescent="0.3">
      <c r="A21" s="16">
        <v>16</v>
      </c>
      <c r="B21" s="17" t="s">
        <v>251</v>
      </c>
      <c r="C21" s="17" t="s">
        <v>11</v>
      </c>
      <c r="D21" s="18">
        <f>'CDC Source Data'!D94</f>
        <v>106305</v>
      </c>
      <c r="E21" s="18">
        <f>'CDC Source Data'!E94</f>
        <v>50</v>
      </c>
      <c r="F21" s="19">
        <f t="shared" si="0"/>
        <v>47.034476271106719</v>
      </c>
      <c r="G21" s="20">
        <f>'CDC Source Data'!F94</f>
        <v>0.18</v>
      </c>
    </row>
    <row r="22" spans="1:7" x14ac:dyDescent="0.3">
      <c r="A22" s="26">
        <v>17</v>
      </c>
      <c r="B22" s="27" t="s">
        <v>25</v>
      </c>
      <c r="C22" s="27" t="s">
        <v>13</v>
      </c>
      <c r="D22" s="28">
        <f>'CDC Source Data'!D438</f>
        <v>941170</v>
      </c>
      <c r="E22" s="28">
        <f>'CDC Source Data'!E438</f>
        <v>435</v>
      </c>
      <c r="F22" s="29">
        <f t="shared" si="0"/>
        <v>46.219067756090823</v>
      </c>
      <c r="G22" s="30">
        <f>'CDC Source Data'!F438</f>
        <v>0.08</v>
      </c>
    </row>
    <row r="23" spans="1:7" x14ac:dyDescent="0.3">
      <c r="A23" s="16">
        <v>18</v>
      </c>
      <c r="B23" s="17" t="s">
        <v>26</v>
      </c>
      <c r="C23" s="17" t="s">
        <v>27</v>
      </c>
      <c r="D23" s="18">
        <f>'CDC Source Data'!D293</f>
        <v>506748</v>
      </c>
      <c r="E23" s="18">
        <f>'CDC Source Data'!E293</f>
        <v>233</v>
      </c>
      <c r="F23" s="19">
        <f t="shared" si="0"/>
        <v>45.979461191756059</v>
      </c>
      <c r="G23" s="20">
        <f>'CDC Source Data'!F293</f>
        <v>0.02</v>
      </c>
    </row>
    <row r="24" spans="1:7" x14ac:dyDescent="0.3">
      <c r="A24" s="16">
        <v>19</v>
      </c>
      <c r="B24" s="17" t="s">
        <v>28</v>
      </c>
      <c r="C24" s="17" t="s">
        <v>29</v>
      </c>
      <c r="D24" s="18">
        <f>'CDC Source Data'!D47</f>
        <v>671747</v>
      </c>
      <c r="E24" s="18">
        <f>'CDC Source Data'!E47</f>
        <v>308</v>
      </c>
      <c r="F24" s="19">
        <f t="shared" si="0"/>
        <v>45.850595536712483</v>
      </c>
      <c r="G24" s="20">
        <f>'CDC Source Data'!F47</f>
        <v>7.0000000000000007E-2</v>
      </c>
    </row>
    <row r="25" spans="1:7" x14ac:dyDescent="0.3">
      <c r="A25" s="16">
        <v>20</v>
      </c>
      <c r="B25" s="17" t="s">
        <v>252</v>
      </c>
      <c r="C25" s="17" t="s">
        <v>253</v>
      </c>
      <c r="D25" s="18">
        <f>'CDC Source Data'!D277</f>
        <v>173906</v>
      </c>
      <c r="E25" s="18">
        <f>'CDC Source Data'!E277</f>
        <v>78</v>
      </c>
      <c r="F25" s="19">
        <f t="shared" si="0"/>
        <v>44.851816498568191</v>
      </c>
      <c r="G25" s="20">
        <f>'CDC Source Data'!F277</f>
        <v>0.48</v>
      </c>
    </row>
    <row r="26" spans="1:7" x14ac:dyDescent="0.3">
      <c r="A26" s="26">
        <v>21</v>
      </c>
      <c r="B26" s="27" t="s">
        <v>254</v>
      </c>
      <c r="C26" s="27" t="s">
        <v>13</v>
      </c>
      <c r="D26" s="28">
        <f>'CDC Source Data'!D131</f>
        <v>113982</v>
      </c>
      <c r="E26" s="28">
        <f>'CDC Source Data'!E131</f>
        <v>49</v>
      </c>
      <c r="F26" s="29">
        <f t="shared" si="0"/>
        <v>42.989243915705984</v>
      </c>
      <c r="G26" s="30">
        <f>'CDC Source Data'!F131</f>
        <v>0</v>
      </c>
    </row>
    <row r="27" spans="1:7" x14ac:dyDescent="0.3">
      <c r="A27" s="16">
        <v>22</v>
      </c>
      <c r="B27" s="17" t="s">
        <v>30</v>
      </c>
      <c r="C27" s="17" t="s">
        <v>27</v>
      </c>
      <c r="D27" s="18">
        <f>'CDC Source Data'!D144</f>
        <v>729505</v>
      </c>
      <c r="E27" s="18">
        <f>'CDC Source Data'!E144</f>
        <v>308</v>
      </c>
      <c r="F27" s="19">
        <f t="shared" si="0"/>
        <v>42.220409729885333</v>
      </c>
      <c r="G27" s="20">
        <f>'CDC Source Data'!F144</f>
        <v>7.0000000000000007E-2</v>
      </c>
    </row>
    <row r="28" spans="1:7" x14ac:dyDescent="0.3">
      <c r="A28" s="16">
        <v>23</v>
      </c>
      <c r="B28" s="17" t="s">
        <v>31</v>
      </c>
      <c r="C28" s="17" t="s">
        <v>32</v>
      </c>
      <c r="D28" s="18">
        <f>'CDC Source Data'!D64</f>
        <v>1384724</v>
      </c>
      <c r="E28" s="18">
        <f>'CDC Source Data'!E64</f>
        <v>582</v>
      </c>
      <c r="F28" s="19">
        <f t="shared" si="0"/>
        <v>42.030036310484974</v>
      </c>
      <c r="G28" s="20">
        <f>'CDC Source Data'!F64</f>
        <v>0.89</v>
      </c>
    </row>
    <row r="29" spans="1:7" x14ac:dyDescent="0.3">
      <c r="A29" s="16">
        <v>24</v>
      </c>
      <c r="B29" s="17" t="s">
        <v>255</v>
      </c>
      <c r="C29" s="17" t="s">
        <v>17</v>
      </c>
      <c r="D29" s="18">
        <f>'CDC Source Data'!D454</f>
        <v>169866</v>
      </c>
      <c r="E29" s="18">
        <f>'CDC Source Data'!E454</f>
        <v>70</v>
      </c>
      <c r="F29" s="19">
        <f t="shared" si="0"/>
        <v>41.208952939375742</v>
      </c>
      <c r="G29" s="20">
        <f>'CDC Source Data'!F454</f>
        <v>0.05</v>
      </c>
    </row>
    <row r="30" spans="1:7" x14ac:dyDescent="0.3">
      <c r="A30" s="16">
        <v>25</v>
      </c>
      <c r="B30" s="17" t="s">
        <v>236</v>
      </c>
      <c r="C30" s="17" t="s">
        <v>237</v>
      </c>
      <c r="D30" s="18">
        <f>'CDC Source Data'!D28</f>
        <v>279114</v>
      </c>
      <c r="E30" s="18">
        <f>'CDC Source Data'!E28</f>
        <v>111</v>
      </c>
      <c r="F30" s="19">
        <f t="shared" si="0"/>
        <v>39.768696661579135</v>
      </c>
      <c r="G30" s="20">
        <f>'CDC Source Data'!F28</f>
        <v>0.72</v>
      </c>
    </row>
    <row r="31" spans="1:7" x14ac:dyDescent="0.3">
      <c r="A31" s="16">
        <v>26</v>
      </c>
      <c r="B31" s="17" t="s">
        <v>256</v>
      </c>
      <c r="C31" s="17" t="s">
        <v>257</v>
      </c>
      <c r="D31" s="18">
        <f>'CDC Source Data'!D262</f>
        <v>147002</v>
      </c>
      <c r="E31" s="18">
        <f>'CDC Source Data'!E262</f>
        <v>58</v>
      </c>
      <c r="F31" s="19">
        <f t="shared" si="0"/>
        <v>39.455245506863854</v>
      </c>
      <c r="G31" s="20">
        <f>'CDC Source Data'!F262</f>
        <v>0</v>
      </c>
    </row>
    <row r="32" spans="1:7" x14ac:dyDescent="0.3">
      <c r="A32" s="26">
        <v>27</v>
      </c>
      <c r="B32" s="27" t="s">
        <v>33</v>
      </c>
      <c r="C32" s="27" t="s">
        <v>13</v>
      </c>
      <c r="D32" s="28">
        <f>'CDC Source Data'!D289</f>
        <v>2340211</v>
      </c>
      <c r="E32" s="28">
        <f>'CDC Source Data'!E289</f>
        <v>921</v>
      </c>
      <c r="F32" s="29">
        <f t="shared" si="0"/>
        <v>39.355425643243279</v>
      </c>
      <c r="G32" s="30">
        <f>'CDC Source Data'!F289</f>
        <v>0.05</v>
      </c>
    </row>
    <row r="33" spans="1:7" x14ac:dyDescent="0.3">
      <c r="A33" s="16">
        <v>28</v>
      </c>
      <c r="B33" s="17" t="s">
        <v>34</v>
      </c>
      <c r="C33" s="17" t="s">
        <v>35</v>
      </c>
      <c r="D33" s="18">
        <f>'CDC Source Data'!D345</f>
        <v>981628</v>
      </c>
      <c r="E33" s="18">
        <f>'CDC Source Data'!E345</f>
        <v>385</v>
      </c>
      <c r="F33" s="19">
        <f t="shared" si="0"/>
        <v>39.220560130721616</v>
      </c>
      <c r="G33" s="20">
        <f>'CDC Source Data'!F345</f>
        <v>0</v>
      </c>
    </row>
    <row r="34" spans="1:7" x14ac:dyDescent="0.3">
      <c r="A34" s="16">
        <v>29</v>
      </c>
      <c r="B34" s="17" t="s">
        <v>258</v>
      </c>
      <c r="C34" s="17" t="s">
        <v>24</v>
      </c>
      <c r="D34" s="18">
        <f>'CDC Source Data'!D557</f>
        <v>103864</v>
      </c>
      <c r="E34" s="18">
        <f>'CDC Source Data'!E557</f>
        <v>40</v>
      </c>
      <c r="F34" s="19">
        <f t="shared" si="0"/>
        <v>38.511900177154736</v>
      </c>
      <c r="G34" s="20">
        <f>'CDC Source Data'!F557</f>
        <v>0</v>
      </c>
    </row>
    <row r="35" spans="1:7" x14ac:dyDescent="0.3">
      <c r="A35" s="16">
        <v>30</v>
      </c>
      <c r="B35" s="17" t="s">
        <v>36</v>
      </c>
      <c r="C35" s="17" t="s">
        <v>36</v>
      </c>
      <c r="D35" s="18">
        <f>'CDC Source Data'!D157</f>
        <v>702250</v>
      </c>
      <c r="E35" s="18">
        <f>'CDC Source Data'!E157</f>
        <v>270</v>
      </c>
      <c r="F35" s="19">
        <f t="shared" si="0"/>
        <v>38.447846208615168</v>
      </c>
      <c r="G35" s="20">
        <f>'CDC Source Data'!F157</f>
        <v>0.21</v>
      </c>
    </row>
    <row r="36" spans="1:7" x14ac:dyDescent="0.3">
      <c r="A36" s="16">
        <v>31</v>
      </c>
      <c r="B36" s="17" t="s">
        <v>259</v>
      </c>
      <c r="C36" s="17" t="s">
        <v>43</v>
      </c>
      <c r="D36" s="18">
        <f>'CDC Source Data'!D396</f>
        <v>109516</v>
      </c>
      <c r="E36" s="18">
        <f>'CDC Source Data'!E396</f>
        <v>42</v>
      </c>
      <c r="F36" s="19">
        <f t="shared" si="0"/>
        <v>38.350560648672335</v>
      </c>
      <c r="G36" s="20">
        <f>'CDC Source Data'!F396</f>
        <v>0.49</v>
      </c>
    </row>
    <row r="37" spans="1:7" x14ac:dyDescent="0.3">
      <c r="A37" s="16">
        <v>32</v>
      </c>
      <c r="B37" s="17" t="s">
        <v>260</v>
      </c>
      <c r="C37" s="17" t="s">
        <v>35</v>
      </c>
      <c r="D37" s="18">
        <f>'CDC Source Data'!D336</f>
        <v>134222</v>
      </c>
      <c r="E37" s="18">
        <f>'CDC Source Data'!E336</f>
        <v>51</v>
      </c>
      <c r="F37" s="19">
        <f t="shared" si="0"/>
        <v>37.996751650251078</v>
      </c>
      <c r="G37" s="20">
        <f>'CDC Source Data'!F336</f>
        <v>0</v>
      </c>
    </row>
    <row r="38" spans="1:7" x14ac:dyDescent="0.3">
      <c r="A38" s="16">
        <v>33</v>
      </c>
      <c r="B38" s="17" t="s">
        <v>261</v>
      </c>
      <c r="C38" s="17" t="s">
        <v>262</v>
      </c>
      <c r="D38" s="18">
        <f>'CDC Source Data'!D491</f>
        <v>194345</v>
      </c>
      <c r="E38" s="18">
        <f>'CDC Source Data'!E491</f>
        <v>73</v>
      </c>
      <c r="F38" s="19">
        <f t="shared" ref="F38:F69" si="1">E38/D38*100000</f>
        <v>37.562067457356761</v>
      </c>
      <c r="G38" s="20">
        <f>'CDC Source Data'!F491</f>
        <v>0.05</v>
      </c>
    </row>
    <row r="39" spans="1:7" x14ac:dyDescent="0.3">
      <c r="A39" s="26">
        <v>34</v>
      </c>
      <c r="B39" s="27" t="s">
        <v>263</v>
      </c>
      <c r="C39" s="27" t="s">
        <v>13</v>
      </c>
      <c r="D39" s="28">
        <f>'CDC Source Data'!D514</f>
        <v>132736</v>
      </c>
      <c r="E39" s="28">
        <f>'CDC Source Data'!E514</f>
        <v>49</v>
      </c>
      <c r="F39" s="29">
        <f t="shared" si="1"/>
        <v>36.915380906460946</v>
      </c>
      <c r="G39" s="30">
        <f>'CDC Source Data'!F514</f>
        <v>0</v>
      </c>
    </row>
    <row r="40" spans="1:7" x14ac:dyDescent="0.3">
      <c r="A40" s="16">
        <v>35</v>
      </c>
      <c r="B40" s="17" t="s">
        <v>238</v>
      </c>
      <c r="C40" s="17" t="s">
        <v>239</v>
      </c>
      <c r="D40" s="18">
        <f>'CDC Source Data'!D468</f>
        <v>233655</v>
      </c>
      <c r="E40" s="18">
        <f>'CDC Source Data'!E468</f>
        <v>86</v>
      </c>
      <c r="F40" s="19">
        <f t="shared" si="1"/>
        <v>36.806402602127065</v>
      </c>
      <c r="G40" s="20">
        <f>'CDC Source Data'!F468</f>
        <v>0.28000000000000003</v>
      </c>
    </row>
    <row r="41" spans="1:7" x14ac:dyDescent="0.3">
      <c r="A41" s="16">
        <v>36</v>
      </c>
      <c r="B41" s="17" t="s">
        <v>37</v>
      </c>
      <c r="C41" s="17" t="s">
        <v>38</v>
      </c>
      <c r="D41" s="18">
        <f>'CDC Source Data'!D368</f>
        <v>924740</v>
      </c>
      <c r="E41" s="18">
        <f>'CDC Source Data'!E368</f>
        <v>340</v>
      </c>
      <c r="F41" s="19">
        <f t="shared" si="1"/>
        <v>36.767091290524903</v>
      </c>
      <c r="G41" s="20">
        <f>'CDC Source Data'!F368</f>
        <v>0.19</v>
      </c>
    </row>
    <row r="42" spans="1:7" x14ac:dyDescent="0.3">
      <c r="A42" s="26">
        <v>37</v>
      </c>
      <c r="B42" s="27" t="s">
        <v>39</v>
      </c>
      <c r="C42" s="27" t="s">
        <v>13</v>
      </c>
      <c r="D42" s="28">
        <f>'CDC Source Data'!D558</f>
        <v>302912</v>
      </c>
      <c r="E42" s="28">
        <f>'CDC Source Data'!E558</f>
        <v>111</v>
      </c>
      <c r="F42" s="29">
        <f t="shared" si="1"/>
        <v>36.644305937037821</v>
      </c>
      <c r="G42" s="30">
        <f>'CDC Source Data'!F558</f>
        <v>0.18</v>
      </c>
    </row>
    <row r="43" spans="1:7" x14ac:dyDescent="0.3">
      <c r="A43" s="16">
        <v>38</v>
      </c>
      <c r="B43" s="17" t="s">
        <v>264</v>
      </c>
      <c r="C43" s="17" t="s">
        <v>43</v>
      </c>
      <c r="D43" s="18">
        <f>'CDC Source Data'!D122</f>
        <v>145161</v>
      </c>
      <c r="E43" s="18">
        <f>'CDC Source Data'!E122</f>
        <v>53</v>
      </c>
      <c r="F43" s="19">
        <f t="shared" si="1"/>
        <v>36.511184133479375</v>
      </c>
      <c r="G43" s="20">
        <f>'CDC Source Data'!F122</f>
        <v>0.46</v>
      </c>
    </row>
    <row r="44" spans="1:7" x14ac:dyDescent="0.3">
      <c r="A44" s="16">
        <v>39</v>
      </c>
      <c r="B44" s="17" t="s">
        <v>40</v>
      </c>
      <c r="C44" s="17" t="s">
        <v>41</v>
      </c>
      <c r="D44" s="18">
        <f>'CDC Source Data'!D265</f>
        <v>793881</v>
      </c>
      <c r="E44" s="18">
        <f>'CDC Source Data'!E265</f>
        <v>286</v>
      </c>
      <c r="F44" s="19">
        <f t="shared" si="1"/>
        <v>36.025550428842607</v>
      </c>
      <c r="G44" s="20">
        <f>'CDC Source Data'!F265</f>
        <v>7.0000000000000007E-2</v>
      </c>
    </row>
    <row r="45" spans="1:7" x14ac:dyDescent="0.3">
      <c r="A45" s="16">
        <v>40</v>
      </c>
      <c r="B45" s="17" t="s">
        <v>42</v>
      </c>
      <c r="C45" s="17" t="s">
        <v>43</v>
      </c>
      <c r="D45" s="18">
        <f>'CDC Source Data'!D439</f>
        <v>1080149</v>
      </c>
      <c r="E45" s="18">
        <f>'CDC Source Data'!E439</f>
        <v>389</v>
      </c>
      <c r="F45" s="19">
        <f t="shared" si="1"/>
        <v>36.013549982456119</v>
      </c>
      <c r="G45" s="20">
        <f>'CDC Source Data'!F439</f>
        <v>0.04</v>
      </c>
    </row>
    <row r="46" spans="1:7" x14ac:dyDescent="0.3">
      <c r="A46" s="16">
        <v>41</v>
      </c>
      <c r="B46" s="17" t="s">
        <v>265</v>
      </c>
      <c r="C46" s="17" t="s">
        <v>47</v>
      </c>
      <c r="D46" s="18">
        <f>'CDC Source Data'!D284</f>
        <v>192690</v>
      </c>
      <c r="E46" s="18">
        <f>'CDC Source Data'!E284</f>
        <v>69</v>
      </c>
      <c r="F46" s="19">
        <f t="shared" si="1"/>
        <v>35.808812081581813</v>
      </c>
      <c r="G46" s="20">
        <f>'CDC Source Data'!F284</f>
        <v>0</v>
      </c>
    </row>
    <row r="47" spans="1:7" x14ac:dyDescent="0.3">
      <c r="A47" s="16">
        <v>42</v>
      </c>
      <c r="B47" s="17" t="s">
        <v>44</v>
      </c>
      <c r="C47" s="17" t="s">
        <v>45</v>
      </c>
      <c r="D47" s="18">
        <f>'CDC Source Data'!D591</f>
        <v>507280</v>
      </c>
      <c r="E47" s="18">
        <f>'CDC Source Data'!E591</f>
        <v>180</v>
      </c>
      <c r="F47" s="19">
        <f t="shared" si="1"/>
        <v>35.483362245702565</v>
      </c>
      <c r="G47" s="20">
        <f>'CDC Source Data'!F591</f>
        <v>0.78</v>
      </c>
    </row>
    <row r="48" spans="1:7" x14ac:dyDescent="0.3">
      <c r="A48" s="16">
        <v>43</v>
      </c>
      <c r="B48" s="17" t="s">
        <v>266</v>
      </c>
      <c r="C48" s="17" t="s">
        <v>267</v>
      </c>
      <c r="D48" s="18">
        <f>'CDC Source Data'!D509</f>
        <v>177942</v>
      </c>
      <c r="E48" s="18">
        <f>'CDC Source Data'!E509</f>
        <v>63</v>
      </c>
      <c r="F48" s="19">
        <f t="shared" si="1"/>
        <v>35.404794820784296</v>
      </c>
      <c r="G48" s="20">
        <f>'CDC Source Data'!F509</f>
        <v>0.14000000000000001</v>
      </c>
    </row>
    <row r="49" spans="1:51" x14ac:dyDescent="0.3">
      <c r="A49" s="16">
        <v>44</v>
      </c>
      <c r="B49" s="17" t="s">
        <v>46</v>
      </c>
      <c r="C49" s="17" t="s">
        <v>47</v>
      </c>
      <c r="D49" s="18">
        <f>'CDC Source Data'!D398</f>
        <v>588093</v>
      </c>
      <c r="E49" s="18">
        <f>'CDC Source Data'!E398</f>
        <v>208</v>
      </c>
      <c r="F49" s="19">
        <f t="shared" si="1"/>
        <v>35.368555653612603</v>
      </c>
      <c r="G49" s="20">
        <f>'CDC Source Data'!F398</f>
        <v>0.04</v>
      </c>
    </row>
    <row r="50" spans="1:51" x14ac:dyDescent="0.3">
      <c r="A50" s="16">
        <v>45</v>
      </c>
      <c r="B50" s="17" t="s">
        <v>48</v>
      </c>
      <c r="C50" s="17" t="s">
        <v>27</v>
      </c>
      <c r="D50" s="18">
        <f>'CDC Source Data'!D511</f>
        <v>910530</v>
      </c>
      <c r="E50" s="18">
        <f>'CDC Source Data'!E511</f>
        <v>322</v>
      </c>
      <c r="F50" s="19">
        <f t="shared" si="1"/>
        <v>35.364018758305605</v>
      </c>
      <c r="G50" s="20">
        <f>'CDC Source Data'!F511</f>
        <v>0.28000000000000003</v>
      </c>
    </row>
    <row r="51" spans="1:51" x14ac:dyDescent="0.3">
      <c r="A51" s="26">
        <v>46</v>
      </c>
      <c r="B51" s="27" t="s">
        <v>268</v>
      </c>
      <c r="C51" s="27" t="s">
        <v>13</v>
      </c>
      <c r="D51" s="28">
        <f>'CDC Source Data'!D210</f>
        <v>104717</v>
      </c>
      <c r="E51" s="28">
        <f>'CDC Source Data'!E210</f>
        <v>37</v>
      </c>
      <c r="F51" s="29">
        <f t="shared" si="1"/>
        <v>35.333326966968109</v>
      </c>
      <c r="G51" s="30">
        <f>'CDC Source Data'!F210</f>
        <v>0</v>
      </c>
    </row>
    <row r="52" spans="1:51" x14ac:dyDescent="0.3">
      <c r="A52" s="26">
        <v>47</v>
      </c>
      <c r="B52" s="27" t="s">
        <v>269</v>
      </c>
      <c r="C52" s="27" t="s">
        <v>13</v>
      </c>
      <c r="D52" s="28">
        <f>'CDC Source Data'!D603</f>
        <v>234954</v>
      </c>
      <c r="E52" s="28">
        <f>'CDC Source Data'!E603</f>
        <v>83</v>
      </c>
      <c r="F52" s="29">
        <f t="shared" si="1"/>
        <v>35.326063825259411</v>
      </c>
      <c r="G52" s="30">
        <f>'CDC Source Data'!F603</f>
        <v>0.14000000000000001</v>
      </c>
    </row>
    <row r="53" spans="1:51" x14ac:dyDescent="0.3">
      <c r="A53" s="16">
        <v>48</v>
      </c>
      <c r="B53" s="17" t="s">
        <v>270</v>
      </c>
      <c r="C53" s="17" t="s">
        <v>27</v>
      </c>
      <c r="D53" s="18">
        <f>'CDC Source Data'!D507</f>
        <v>100184</v>
      </c>
      <c r="E53" s="18">
        <f>'CDC Source Data'!E507</f>
        <v>35</v>
      </c>
      <c r="F53" s="19">
        <f t="shared" si="1"/>
        <v>34.935718278367801</v>
      </c>
      <c r="G53" s="20">
        <f>'CDC Source Data'!F507</f>
        <v>0</v>
      </c>
    </row>
    <row r="54" spans="1:51" x14ac:dyDescent="0.3">
      <c r="A54" s="16">
        <v>49</v>
      </c>
      <c r="B54" s="17" t="s">
        <v>271</v>
      </c>
      <c r="C54" s="17" t="s">
        <v>232</v>
      </c>
      <c r="D54" s="18">
        <f>'CDC Source Data'!D350</f>
        <v>117613</v>
      </c>
      <c r="E54" s="18">
        <f>'CDC Source Data'!E350</f>
        <v>41</v>
      </c>
      <c r="F54" s="19">
        <f t="shared" si="1"/>
        <v>34.860091996633024</v>
      </c>
      <c r="G54" s="20">
        <f>'CDC Source Data'!F350</f>
        <v>0</v>
      </c>
    </row>
    <row r="55" spans="1:51" x14ac:dyDescent="0.3">
      <c r="A55" s="16">
        <v>50</v>
      </c>
      <c r="B55" s="17" t="s">
        <v>49</v>
      </c>
      <c r="C55" s="17" t="s">
        <v>50</v>
      </c>
      <c r="D55" s="18">
        <f>'CDC Source Data'!D180</f>
        <v>331275</v>
      </c>
      <c r="E55" s="18">
        <f>'CDC Source Data'!E180</f>
        <v>114</v>
      </c>
      <c r="F55" s="19">
        <f t="shared" si="1"/>
        <v>34.412497170024906</v>
      </c>
      <c r="G55" s="20">
        <f>'CDC Source Data'!F180</f>
        <v>0.7</v>
      </c>
    </row>
    <row r="60" spans="1:51" ht="16.8" customHeight="1" x14ac:dyDescent="0.3">
      <c r="A60" s="73" t="s">
        <v>52</v>
      </c>
    </row>
    <row r="61" spans="1:51" x14ac:dyDescent="0.3">
      <c r="A61" s="74" t="s">
        <v>272</v>
      </c>
    </row>
    <row r="63" spans="1:51" x14ac:dyDescent="0.3">
      <c r="A63" s="75" t="s">
        <v>54</v>
      </c>
      <c r="B63" s="76" t="b">
        <v>1</v>
      </c>
      <c r="C63" s="76" t="b">
        <v>1</v>
      </c>
      <c r="D63" s="76" t="b">
        <v>1</v>
      </c>
      <c r="E63" s="76" t="b">
        <v>1</v>
      </c>
      <c r="F63" s="76" t="b">
        <v>1</v>
      </c>
      <c r="G63" s="77" t="b">
        <v>1</v>
      </c>
      <c r="H63" s="78" t="b">
        <v>0</v>
      </c>
      <c r="I63" s="78" t="b">
        <v>0</v>
      </c>
      <c r="J63" s="78" t="b">
        <v>0</v>
      </c>
      <c r="K63" s="78" t="b">
        <v>0</v>
      </c>
      <c r="L63" s="78" t="b">
        <v>0</v>
      </c>
      <c r="M63" s="78" t="b">
        <v>0</v>
      </c>
      <c r="N63" s="78" t="b">
        <v>0</v>
      </c>
      <c r="O63" s="76" t="b">
        <v>1</v>
      </c>
      <c r="P63" s="78" t="b">
        <v>0</v>
      </c>
      <c r="Q63" s="78" t="b">
        <v>0</v>
      </c>
      <c r="R63" s="76" t="b">
        <v>1</v>
      </c>
      <c r="S63" s="78" t="b">
        <v>0</v>
      </c>
      <c r="T63" s="78" t="b">
        <v>0</v>
      </c>
      <c r="U63" s="78" t="b">
        <v>0</v>
      </c>
      <c r="V63" s="76" t="b">
        <v>1</v>
      </c>
      <c r="W63" s="78" t="b">
        <v>0</v>
      </c>
      <c r="X63" s="78" t="b">
        <v>0</v>
      </c>
      <c r="Y63" s="78" t="b">
        <v>0</v>
      </c>
      <c r="Z63" s="78" t="b">
        <v>0</v>
      </c>
      <c r="AA63" s="78" t="b">
        <v>0</v>
      </c>
      <c r="AB63" s="76" t="b">
        <v>1</v>
      </c>
      <c r="AC63" s="78" t="b">
        <v>0</v>
      </c>
      <c r="AD63" s="78" t="b">
        <v>0</v>
      </c>
      <c r="AE63" s="78" t="b">
        <v>0</v>
      </c>
      <c r="AF63" s="78" t="b">
        <v>0</v>
      </c>
      <c r="AG63" s="78" t="b">
        <v>0</v>
      </c>
      <c r="AH63" s="78" t="b">
        <v>0</v>
      </c>
      <c r="AI63" s="76" t="b">
        <v>1</v>
      </c>
      <c r="AJ63" s="78" t="b">
        <v>0</v>
      </c>
      <c r="AK63" s="78" t="b">
        <v>0</v>
      </c>
      <c r="AL63" s="76" t="b">
        <v>1</v>
      </c>
      <c r="AM63" s="78" t="b">
        <v>0</v>
      </c>
      <c r="AN63" s="78" t="b">
        <v>0</v>
      </c>
      <c r="AO63" s="78" t="b">
        <v>0</v>
      </c>
      <c r="AP63" s="78" t="b">
        <v>0</v>
      </c>
      <c r="AQ63" s="78" t="b">
        <v>0</v>
      </c>
      <c r="AR63" s="78" t="b">
        <v>0</v>
      </c>
      <c r="AS63" s="78" t="b">
        <v>0</v>
      </c>
      <c r="AT63" s="78" t="b">
        <v>0</v>
      </c>
      <c r="AU63" s="76" t="b">
        <v>1</v>
      </c>
      <c r="AV63" s="76" t="b">
        <v>1</v>
      </c>
      <c r="AW63" s="78" t="b">
        <v>0</v>
      </c>
      <c r="AX63" s="78" t="b">
        <v>0</v>
      </c>
      <c r="AY63" s="78" t="b">
        <v>0</v>
      </c>
    </row>
    <row r="65" spans="1:51" x14ac:dyDescent="0.3">
      <c r="A65" s="5" t="s">
        <v>55</v>
      </c>
      <c r="B65" s="5" t="s">
        <v>56</v>
      </c>
      <c r="C65" s="5" t="s">
        <v>273</v>
      </c>
      <c r="D65" s="5" t="s">
        <v>240</v>
      </c>
      <c r="E65" s="5" t="s">
        <v>241</v>
      </c>
      <c r="F65" s="5" t="s">
        <v>242</v>
      </c>
      <c r="G65" s="79" t="s">
        <v>57</v>
      </c>
      <c r="H65" s="5" t="s">
        <v>58</v>
      </c>
      <c r="I65" s="5" t="s">
        <v>59</v>
      </c>
      <c r="J65" s="5" t="s">
        <v>60</v>
      </c>
      <c r="K65" s="5" t="s">
        <v>61</v>
      </c>
      <c r="L65" s="5" t="s">
        <v>62</v>
      </c>
      <c r="M65" s="5" t="s">
        <v>63</v>
      </c>
      <c r="N65" s="5" t="s">
        <v>274</v>
      </c>
      <c r="O65" s="80" t="s">
        <v>243</v>
      </c>
      <c r="P65" s="5" t="s">
        <v>244</v>
      </c>
      <c r="Q65" s="5" t="s">
        <v>275</v>
      </c>
      <c r="R65" s="80" t="s">
        <v>64</v>
      </c>
      <c r="S65" s="5" t="s">
        <v>65</v>
      </c>
      <c r="T65" s="5" t="s">
        <v>66</v>
      </c>
      <c r="U65" s="5" t="s">
        <v>276</v>
      </c>
      <c r="V65" s="80" t="s">
        <v>277</v>
      </c>
      <c r="W65" s="5" t="s">
        <v>67</v>
      </c>
      <c r="X65" s="5" t="s">
        <v>68</v>
      </c>
      <c r="Y65" s="5" t="s">
        <v>278</v>
      </c>
      <c r="Z65" s="5" t="s">
        <v>245</v>
      </c>
      <c r="AA65" s="5" t="s">
        <v>279</v>
      </c>
      <c r="AB65" s="80" t="s">
        <v>69</v>
      </c>
      <c r="AC65" s="5" t="s">
        <v>70</v>
      </c>
      <c r="AD65" s="5" t="s">
        <v>280</v>
      </c>
      <c r="AE65" s="5" t="s">
        <v>71</v>
      </c>
      <c r="AF65" s="5" t="s">
        <v>281</v>
      </c>
      <c r="AG65" s="5" t="s">
        <v>282</v>
      </c>
      <c r="AH65" s="5" t="s">
        <v>283</v>
      </c>
      <c r="AI65" s="80" t="s">
        <v>284</v>
      </c>
      <c r="AJ65" s="5" t="s">
        <v>246</v>
      </c>
      <c r="AK65" s="5" t="s">
        <v>72</v>
      </c>
      <c r="AL65" s="80" t="s">
        <v>73</v>
      </c>
      <c r="AM65" s="5" t="s">
        <v>285</v>
      </c>
      <c r="AN65" s="5" t="s">
        <v>74</v>
      </c>
      <c r="AO65" s="5" t="s">
        <v>75</v>
      </c>
      <c r="AP65" s="5" t="s">
        <v>286</v>
      </c>
      <c r="AQ65" s="5" t="s">
        <v>76</v>
      </c>
      <c r="AR65" s="5" t="s">
        <v>287</v>
      </c>
      <c r="AS65" s="5" t="s">
        <v>77</v>
      </c>
      <c r="AT65" s="5" t="s">
        <v>78</v>
      </c>
      <c r="AU65" s="80" t="s">
        <v>288</v>
      </c>
      <c r="AV65" s="80" t="s">
        <v>289</v>
      </c>
      <c r="AW65" s="5" t="s">
        <v>290</v>
      </c>
      <c r="AX65" s="5" t="s">
        <v>291</v>
      </c>
      <c r="AY65" s="5" t="s">
        <v>79</v>
      </c>
    </row>
    <row r="66" spans="1:51" x14ac:dyDescent="0.3">
      <c r="A66" s="81" t="s">
        <v>81</v>
      </c>
      <c r="B66" s="82">
        <f>IF(B$63,120.19,NA())</f>
        <v>120.19</v>
      </c>
      <c r="C66" s="82">
        <f>IF(C$63,32.96,NA())</f>
        <v>32.96</v>
      </c>
      <c r="D66" s="82">
        <f>IF(D$63,88.67,NA())</f>
        <v>88.67</v>
      </c>
      <c r="E66" s="82">
        <f>IF(E$63,18.65,NA())</f>
        <v>18.649999999999999</v>
      </c>
      <c r="F66" s="82">
        <f>IF(F$63,24.48,NA())</f>
        <v>24.48</v>
      </c>
      <c r="G66" s="82">
        <f>IF(G$63,14.93,NA())</f>
        <v>14.93</v>
      </c>
      <c r="H66" s="82" t="e">
        <f>IF(H$63,49.06,NA())</f>
        <v>#N/A</v>
      </c>
      <c r="I66" s="82" t="e">
        <f>IF(I$63,25.37,NA())</f>
        <v>#N/A</v>
      </c>
      <c r="J66" s="82" t="e">
        <f>NA()</f>
        <v>#N/A</v>
      </c>
      <c r="K66" s="82" t="e">
        <f>IF(K$63,25,NA())</f>
        <v>#N/A</v>
      </c>
      <c r="L66" s="82" t="e">
        <f>IF(L$63,25.51,NA())</f>
        <v>#N/A</v>
      </c>
      <c r="M66" s="82" t="e">
        <f>IF(M$63,48.25,NA())</f>
        <v>#N/A</v>
      </c>
      <c r="N66" s="82" t="e">
        <f>IF(N$63,30.22,NA())</f>
        <v>#N/A</v>
      </c>
      <c r="O66" s="82">
        <f>IF(O$63,17.79,NA())</f>
        <v>17.79</v>
      </c>
      <c r="P66" s="82" t="e">
        <f>IF(P$63,20.75,NA())</f>
        <v>#N/A</v>
      </c>
      <c r="Q66" s="82" t="e">
        <f>IF(Q$63,66.79,NA())</f>
        <v>#N/A</v>
      </c>
      <c r="R66" s="82">
        <f>IF(R$63,15.73,NA())</f>
        <v>15.73</v>
      </c>
      <c r="S66" s="82" t="e">
        <f>IF(S$63,44.2,NA())</f>
        <v>#N/A</v>
      </c>
      <c r="T66" s="82" t="e">
        <f>IF(T$63,40.19,NA())</f>
        <v>#N/A</v>
      </c>
      <c r="U66" s="82" t="e">
        <f>IF(U$63,78.78,NA())</f>
        <v>#N/A</v>
      </c>
      <c r="V66" s="82">
        <f>IF(V$63,17.55,NA())</f>
        <v>17.55</v>
      </c>
      <c r="W66" s="82" t="e">
        <f>IF(W$63,44.82,NA())</f>
        <v>#N/A</v>
      </c>
      <c r="X66" s="82" t="e">
        <f>IF(X$63,29.68,NA())</f>
        <v>#N/A</v>
      </c>
      <c r="Y66" s="82" t="e">
        <f>IF(Y$63,34.14,NA())</f>
        <v>#N/A</v>
      </c>
      <c r="Z66" s="82" t="e">
        <f>IF(Z$63,54.1,NA())</f>
        <v>#N/A</v>
      </c>
      <c r="AA66" s="82" t="e">
        <f>IF(AA$63,21.09,NA())</f>
        <v>#N/A</v>
      </c>
      <c r="AB66" s="82">
        <f>IF(AB$63,17.43,NA())</f>
        <v>17.43</v>
      </c>
      <c r="AC66" s="82" t="e">
        <f>IF(AC$63,40.75,NA())</f>
        <v>#N/A</v>
      </c>
      <c r="AD66" s="82" t="e">
        <f>IF(AD$63,38.51,NA())</f>
        <v>#N/A</v>
      </c>
      <c r="AE66" s="82" t="e">
        <f>IF(AE$63,46.85,NA())</f>
        <v>#N/A</v>
      </c>
      <c r="AF66" s="82" t="e">
        <f>IF(AF$63,25.57,NA())</f>
        <v>#N/A</v>
      </c>
      <c r="AG66" s="82" t="e">
        <f>IF(AG$63,40.23,NA())</f>
        <v>#N/A</v>
      </c>
      <c r="AH66" s="82" t="e">
        <f>IF(AH$63,18.52,NA())</f>
        <v>#N/A</v>
      </c>
      <c r="AI66" s="82">
        <f>IF(AI$63,13.56,NA())</f>
        <v>13.56</v>
      </c>
      <c r="AJ66" s="82" t="e">
        <f>IF(AJ$63,47.08,NA())</f>
        <v>#N/A</v>
      </c>
      <c r="AK66" s="82" t="e">
        <f>IF(AK$63,44.44,NA())</f>
        <v>#N/A</v>
      </c>
      <c r="AL66" s="82">
        <f>IF(AL$63,12.88,NA())</f>
        <v>12.88</v>
      </c>
      <c r="AM66" s="82" t="e">
        <f>IF(AM$63,18.6,NA())</f>
        <v>#N/A</v>
      </c>
      <c r="AN66" s="82" t="e">
        <f>IF(AN$63,41.32,NA())</f>
        <v>#N/A</v>
      </c>
      <c r="AO66" s="82" t="e">
        <f>IF(AO$63,28.61,NA())</f>
        <v>#N/A</v>
      </c>
      <c r="AP66" s="82" t="e">
        <f>IF(AP$63,30.62,NA())</f>
        <v>#N/A</v>
      </c>
      <c r="AQ66" s="82" t="e">
        <f>IF(AQ$63,26.81,NA())</f>
        <v>#N/A</v>
      </c>
      <c r="AR66" s="82" t="e">
        <f>IF(AR$63,19.67,NA())</f>
        <v>#N/A</v>
      </c>
      <c r="AS66" s="82" t="e">
        <f>IF(AS$63,45.57,NA())</f>
        <v>#N/A</v>
      </c>
      <c r="AT66" s="82" t="e">
        <f>IF(AT$63,30.97,NA())</f>
        <v>#N/A</v>
      </c>
      <c r="AU66" s="82">
        <f>IF(AU$63,11.46,NA())</f>
        <v>11.46</v>
      </c>
      <c r="AV66" s="82">
        <f>IF(AV$63,9.36,NA())</f>
        <v>9.36</v>
      </c>
      <c r="AW66" s="82" t="e">
        <f>IF(AW$63,33.94,NA())</f>
        <v>#N/A</v>
      </c>
      <c r="AX66" s="82" t="e">
        <f>IF(AX$63,17,NA())</f>
        <v>#N/A</v>
      </c>
      <c r="AY66" s="82" t="e">
        <f>IF(AY$63,27.77,NA())</f>
        <v>#N/A</v>
      </c>
    </row>
    <row r="67" spans="1:51" x14ac:dyDescent="0.3">
      <c r="A67" s="81" t="s">
        <v>82</v>
      </c>
      <c r="B67" s="82">
        <f>IF(B$63,117.9,NA())</f>
        <v>117.9</v>
      </c>
      <c r="C67" s="82">
        <f>IF(C$63,33.59,NA())</f>
        <v>33.590000000000003</v>
      </c>
      <c r="D67" s="82">
        <f>IF(D$63,89.03,NA())</f>
        <v>89.03</v>
      </c>
      <c r="E67" s="82">
        <f>IF(E$63,18.3,NA())</f>
        <v>18.3</v>
      </c>
      <c r="F67" s="82">
        <f>IF(F$63,25.92,NA())</f>
        <v>25.92</v>
      </c>
      <c r="G67" s="82">
        <f>IF(G$63,15.29,NA())</f>
        <v>15.29</v>
      </c>
      <c r="H67" s="82" t="e">
        <f>IF(H$63,50.27,NA())</f>
        <v>#N/A</v>
      </c>
      <c r="I67" s="82" t="e">
        <f>IF(I$63,25.51,NA())</f>
        <v>#N/A</v>
      </c>
      <c r="J67" s="82" t="e">
        <f>IF(J$63,63.47,NA())</f>
        <v>#N/A</v>
      </c>
      <c r="K67" s="82" t="e">
        <f>IF(K$63,25.38,NA())</f>
        <v>#N/A</v>
      </c>
      <c r="L67" s="82" t="e">
        <f>IF(L$63,26.06,NA())</f>
        <v>#N/A</v>
      </c>
      <c r="M67" s="82" t="e">
        <f>IF(M$63,50.45,NA())</f>
        <v>#N/A</v>
      </c>
      <c r="N67" s="82" t="e">
        <f>IF(N$63,28.71,NA())</f>
        <v>#N/A</v>
      </c>
      <c r="O67" s="82">
        <f>IF(O$63,19.73,NA())</f>
        <v>19.73</v>
      </c>
      <c r="P67" s="82" t="e">
        <f>IF(P$63,19.43,NA())</f>
        <v>#N/A</v>
      </c>
      <c r="Q67" s="82" t="e">
        <f>IF(Q$63,73.37,NA())</f>
        <v>#N/A</v>
      </c>
      <c r="R67" s="82">
        <f>IF(R$63,15.19,NA())</f>
        <v>15.19</v>
      </c>
      <c r="S67" s="82" t="e">
        <f>IF(S$63,43.81,NA())</f>
        <v>#N/A</v>
      </c>
      <c r="T67" s="82" t="e">
        <f>IF(T$63,40.19,NA())</f>
        <v>#N/A</v>
      </c>
      <c r="U67" s="82" t="e">
        <f>IF(U$63,81.08,NA())</f>
        <v>#N/A</v>
      </c>
      <c r="V67" s="82">
        <f>IF(V$63,17.55,NA())</f>
        <v>17.55</v>
      </c>
      <c r="W67" s="82" t="e">
        <f>IF(W$63,44.96,NA())</f>
        <v>#N/A</v>
      </c>
      <c r="X67" s="82" t="e">
        <f>IF(X$63,31.13,NA())</f>
        <v>#N/A</v>
      </c>
      <c r="Y67" s="82" t="e">
        <f>IF(Y$63,35.32,NA())</f>
        <v>#N/A</v>
      </c>
      <c r="Z67" s="82" t="e">
        <f>IF(Z$63,52.31,NA())</f>
        <v>#N/A</v>
      </c>
      <c r="AA67" s="82" t="e">
        <f>IF(AA$63,23.81,NA())</f>
        <v>#N/A</v>
      </c>
      <c r="AB67" s="82">
        <f>IF(AB$63,17.61,NA())</f>
        <v>17.61</v>
      </c>
      <c r="AC67" s="82" t="e">
        <f>IF(AC$63,42.48,NA())</f>
        <v>#N/A</v>
      </c>
      <c r="AD67" s="82" t="e">
        <f>IF(AD$63,37.55,NA())</f>
        <v>#N/A</v>
      </c>
      <c r="AE67" s="82" t="e">
        <f>IF(AE$63,48.7,NA())</f>
        <v>#N/A</v>
      </c>
      <c r="AF67" s="82" t="e">
        <f>IF(AF$63,25.57,NA())</f>
        <v>#N/A</v>
      </c>
      <c r="AG67" s="82" t="e">
        <f>IF(AG$63,38,NA())</f>
        <v>#N/A</v>
      </c>
      <c r="AH67" s="82" t="e">
        <f>IF(AH$63,19.04,NA())</f>
        <v>#N/A</v>
      </c>
      <c r="AI67" s="82">
        <f>IF(AI$63,14.31,NA())</f>
        <v>14.31</v>
      </c>
      <c r="AJ67" s="82" t="e">
        <f>IF(AJ$63,47.51,NA())</f>
        <v>#N/A</v>
      </c>
      <c r="AK67" s="82" t="e">
        <f>IF(AK$63,46.5,NA())</f>
        <v>#N/A</v>
      </c>
      <c r="AL67" s="82">
        <f>IF(AL$63,12.21,NA())</f>
        <v>12.21</v>
      </c>
      <c r="AM67" s="82" t="e">
        <f>IF(AM$63,19.29,NA())</f>
        <v>#N/A</v>
      </c>
      <c r="AN67" s="82" t="e">
        <f>IF(AN$63,42.83,NA())</f>
        <v>#N/A</v>
      </c>
      <c r="AO67" s="82" t="e">
        <f>IF(AO$63,30.18,NA())</f>
        <v>#N/A</v>
      </c>
      <c r="AP67" s="82" t="e">
        <f>IF(AP$63,33.73,NA())</f>
        <v>#N/A</v>
      </c>
      <c r="AQ67" s="82" t="e">
        <f>IF(AQ$63,27.8,NA())</f>
        <v>#N/A</v>
      </c>
      <c r="AR67" s="82" t="e">
        <f>IF(AR$63,19.11,NA())</f>
        <v>#N/A</v>
      </c>
      <c r="AS67" s="82" t="e">
        <f>IF(AS$63,45.4,NA())</f>
        <v>#N/A</v>
      </c>
      <c r="AT67" s="82" t="e">
        <f>IF(AT$63,32.73,NA())</f>
        <v>#N/A</v>
      </c>
      <c r="AU67" s="82">
        <f>IF(AU$63,12.41,NA())</f>
        <v>12.41</v>
      </c>
      <c r="AV67" s="82">
        <f>IF(AV$63,8.51,NA())</f>
        <v>8.51</v>
      </c>
      <c r="AW67" s="82" t="e">
        <f>IF(AW$63,30.94,NA())</f>
        <v>#N/A</v>
      </c>
      <c r="AX67" s="82" t="e">
        <f>IF(AX$63,16.15,NA())</f>
        <v>#N/A</v>
      </c>
      <c r="AY67" s="82" t="e">
        <f>IF(AY$63,28.07,NA())</f>
        <v>#N/A</v>
      </c>
    </row>
    <row r="68" spans="1:51" x14ac:dyDescent="0.3">
      <c r="A68" s="81" t="s">
        <v>83</v>
      </c>
      <c r="B68" s="82">
        <f>IF(B$63,117.9,NA())</f>
        <v>117.9</v>
      </c>
      <c r="C68" s="82">
        <f>IF(C$63,36.13,NA())</f>
        <v>36.130000000000003</v>
      </c>
      <c r="D68" s="82">
        <f>IF(D$63,93.67,NA())</f>
        <v>93.67</v>
      </c>
      <c r="E68" s="82">
        <f>IF(E$63,18.3,NA())</f>
        <v>18.3</v>
      </c>
      <c r="F68" s="82">
        <f>IF(F$63,24,NA())</f>
        <v>24</v>
      </c>
      <c r="G68" s="82">
        <f>IF(G$63,15.83,NA())</f>
        <v>15.83</v>
      </c>
      <c r="H68" s="82" t="e">
        <f>IF(H$63,52.81,NA())</f>
        <v>#N/A</v>
      </c>
      <c r="I68" s="82" t="e">
        <f>IF(I$63,25.24,NA())</f>
        <v>#N/A</v>
      </c>
      <c r="J68" s="82" t="e">
        <f>NA()</f>
        <v>#N/A</v>
      </c>
      <c r="K68" s="82" t="e">
        <f>IF(K$63,25.76,NA())</f>
        <v>#N/A</v>
      </c>
      <c r="L68" s="82" t="e">
        <f>IF(L$63,27.3,NA())</f>
        <v>#N/A</v>
      </c>
      <c r="M68" s="82" t="e">
        <f>IF(M$63,52.66,NA())</f>
        <v>#N/A</v>
      </c>
      <c r="N68" s="82" t="e">
        <f>IF(N$63,27.95,NA())</f>
        <v>#N/A</v>
      </c>
      <c r="O68" s="82">
        <f>IF(O$63,21.66,NA())</f>
        <v>21.66</v>
      </c>
      <c r="P68" s="82" t="e">
        <f>IF(P$63,19.87,NA())</f>
        <v>#N/A</v>
      </c>
      <c r="Q68" s="82" t="e">
        <f>IF(Q$63,72.43,NA())</f>
        <v>#N/A</v>
      </c>
      <c r="R68" s="82">
        <f>IF(R$63,16.15,NA())</f>
        <v>16.149999999999999</v>
      </c>
      <c r="S68" s="82" t="e">
        <f>IF(S$63,46.57,NA())</f>
        <v>#N/A</v>
      </c>
      <c r="T68" s="82" t="e">
        <f>IF(T$63,40.49,NA())</f>
        <v>#N/A</v>
      </c>
      <c r="U68" s="82" t="e">
        <f>IF(U$63,81.65,NA())</f>
        <v>#N/A</v>
      </c>
      <c r="V68" s="82">
        <f>IF(V$63,18.42,NA())</f>
        <v>18.420000000000002</v>
      </c>
      <c r="W68" s="82" t="e">
        <f>IF(W$63,48.11,NA())</f>
        <v>#N/A</v>
      </c>
      <c r="X68" s="82" t="e">
        <f>IF(X$63,31.2,NA())</f>
        <v>#N/A</v>
      </c>
      <c r="Y68" s="82" t="e">
        <f>IF(Y$63,35.91,NA())</f>
        <v>#N/A</v>
      </c>
      <c r="Z68" s="82" t="e">
        <f>IF(Z$63,51.95,NA())</f>
        <v>#N/A</v>
      </c>
      <c r="AA68" s="82" t="e">
        <f>IF(AA$63,23.81,NA())</f>
        <v>#N/A</v>
      </c>
      <c r="AB68" s="82">
        <f>IF(AB$63,18.29,NA())</f>
        <v>18.29</v>
      </c>
      <c r="AC68" s="82" t="e">
        <f>IF(AC$63,41.56,NA())</f>
        <v>#N/A</v>
      </c>
      <c r="AD68" s="82" t="e">
        <f>IF(AD$63,43.33,NA())</f>
        <v>#N/A</v>
      </c>
      <c r="AE68" s="82" t="e">
        <f>IF(AE$63,49.41,NA())</f>
        <v>#N/A</v>
      </c>
      <c r="AF68" s="82" t="e">
        <f>IF(AF$63,27.39,NA())</f>
        <v>#N/A</v>
      </c>
      <c r="AG68" s="82" t="e">
        <f>IF(AG$63,35.02,NA())</f>
        <v>#N/A</v>
      </c>
      <c r="AH68" s="82" t="e">
        <f>IF(AH$63,20.07,NA())</f>
        <v>#N/A</v>
      </c>
      <c r="AI68" s="82">
        <f>IF(AI$63,17.33,NA())</f>
        <v>17.329999999999998</v>
      </c>
      <c r="AJ68" s="82" t="e">
        <f>IF(AJ$63,49.22,NA())</f>
        <v>#N/A</v>
      </c>
      <c r="AK68" s="82" t="e">
        <f>IF(AK$63,46.5,NA())</f>
        <v>#N/A</v>
      </c>
      <c r="AL68" s="82">
        <f>IF(AL$63,10.89,NA())</f>
        <v>10.89</v>
      </c>
      <c r="AM68" s="82" t="e">
        <f>IF(AM$63,22.04,NA())</f>
        <v>#N/A</v>
      </c>
      <c r="AN68" s="82" t="e">
        <f>IF(AN$63,44.34,NA())</f>
        <v>#N/A</v>
      </c>
      <c r="AO68" s="82" t="e">
        <f>IF(AO$63,30.09,NA())</f>
        <v>#N/A</v>
      </c>
      <c r="AP68" s="82" t="e">
        <f>IF(AP$63,34.77,NA())</f>
        <v>#N/A</v>
      </c>
      <c r="AQ68" s="82" t="e">
        <f>IF(AQ$63,27.4,NA())</f>
        <v>#N/A</v>
      </c>
      <c r="AR68" s="82" t="e">
        <f>IF(AR$63,19.11,NA())</f>
        <v>#N/A</v>
      </c>
      <c r="AS68" s="82" t="e">
        <f>IF(AS$63,47.27,NA())</f>
        <v>#N/A</v>
      </c>
      <c r="AT68" s="82" t="e">
        <f>IF(AT$63,33.5,NA())</f>
        <v>#N/A</v>
      </c>
      <c r="AU68" s="82">
        <f>IF(AU$63,11.46,NA())</f>
        <v>11.46</v>
      </c>
      <c r="AV68" s="82">
        <f>IF(AV$63,9.36,NA())</f>
        <v>9.36</v>
      </c>
      <c r="AW68" s="82" t="e">
        <f>IF(AW$63,27.95,NA())</f>
        <v>#N/A</v>
      </c>
      <c r="AX68" s="82" t="e">
        <f>IF(AX$63,14.45,NA())</f>
        <v>#N/A</v>
      </c>
      <c r="AY68" s="82" t="e">
        <f>IF(AY$63,31.7,NA())</f>
        <v>#N/A</v>
      </c>
    </row>
    <row r="69" spans="1:51" x14ac:dyDescent="0.3">
      <c r="A69" s="81" t="s">
        <v>84</v>
      </c>
      <c r="B69" s="82">
        <f>IF(B$63,117.2,NA())</f>
        <v>117.2</v>
      </c>
      <c r="C69" s="82">
        <f>IF(C$63,36.13,NA())</f>
        <v>36.130000000000003</v>
      </c>
      <c r="D69" s="82">
        <f>IF(D$63,97.25,NA())</f>
        <v>97.25</v>
      </c>
      <c r="E69" s="82">
        <f>IF(E$63,18.65,NA())</f>
        <v>18.649999999999999</v>
      </c>
      <c r="F69" s="82">
        <f>IF(F$63,22.56,NA())</f>
        <v>22.56</v>
      </c>
      <c r="G69" s="82">
        <f>IF(G$63,16.01,NA())</f>
        <v>16.010000000000002</v>
      </c>
      <c r="H69" s="82" t="e">
        <f>IF(H$63,55.22,NA())</f>
        <v>#N/A</v>
      </c>
      <c r="I69" s="82" t="e">
        <f>IF(I$63,26.83,NA())</f>
        <v>#N/A</v>
      </c>
      <c r="J69" s="82" t="e">
        <f>NA()</f>
        <v>#N/A</v>
      </c>
      <c r="K69" s="82" t="e">
        <f>IF(K$63,26.01,NA())</f>
        <v>#N/A</v>
      </c>
      <c r="L69" s="82" t="e">
        <f>IF(L$63,30.18,NA())</f>
        <v>#N/A</v>
      </c>
      <c r="M69" s="82" t="e">
        <f>IF(M$63,55.69,NA())</f>
        <v>#N/A</v>
      </c>
      <c r="N69" s="82" t="e">
        <f>IF(N$63,30.97,NA())</f>
        <v>#N/A</v>
      </c>
      <c r="O69" s="82">
        <f>IF(O$63,23.6,NA())</f>
        <v>23.6</v>
      </c>
      <c r="P69" s="82" t="e">
        <f>IF(P$63,20.31,NA())</f>
        <v>#N/A</v>
      </c>
      <c r="Q69" s="82" t="e">
        <f>IF(Q$63,74.31,NA())</f>
        <v>#N/A</v>
      </c>
      <c r="R69" s="82">
        <f>IF(R$63,18.17,NA())</f>
        <v>18.170000000000002</v>
      </c>
      <c r="S69" s="82" t="e">
        <f>IF(S$63,46.57,NA())</f>
        <v>#N/A</v>
      </c>
      <c r="T69" s="82" t="e">
        <f>IF(T$63,40.19,NA())</f>
        <v>#N/A</v>
      </c>
      <c r="U69" s="82" t="e">
        <f>IF(U$63,81.08,NA())</f>
        <v>#N/A</v>
      </c>
      <c r="V69" s="82">
        <f>IF(V$63,19.3,NA())</f>
        <v>19.3</v>
      </c>
      <c r="W69" s="82" t="e">
        <f>IF(W$63,50.58,NA())</f>
        <v>#N/A</v>
      </c>
      <c r="X69" s="82" t="e">
        <f>IF(X$63,31.78,NA())</f>
        <v>#N/A</v>
      </c>
      <c r="Y69" s="82" t="e">
        <f>IF(Y$63,35.32,NA())</f>
        <v>#N/A</v>
      </c>
      <c r="Z69" s="82" t="e">
        <f>IF(Z$63,52.31,NA())</f>
        <v>#N/A</v>
      </c>
      <c r="AA69" s="82" t="e">
        <f>IF(AA$63,27.89,NA())</f>
        <v>#N/A</v>
      </c>
      <c r="AB69" s="82">
        <f>IF(AB$63,19.31,NA())</f>
        <v>19.309999999999999</v>
      </c>
      <c r="AC69" s="82" t="e">
        <f>IF(AC$63,44.82,NA())</f>
        <v>#N/A</v>
      </c>
      <c r="AD69" s="82" t="e">
        <f>IF(AD$63,44.29,NA())</f>
        <v>#N/A</v>
      </c>
      <c r="AE69" s="82" t="e">
        <f>IF(AE$63,53.83,NA())</f>
        <v>#N/A</v>
      </c>
      <c r="AF69" s="82" t="e">
        <f>IF(AF$63,29.22,NA())</f>
        <v>#N/A</v>
      </c>
      <c r="AG69" s="82" t="e">
        <f>IF(AG$63,32.78,NA())</f>
        <v>#N/A</v>
      </c>
      <c r="AH69" s="82" t="e">
        <f>IF(AH$63,20.58,NA())</f>
        <v>#N/A</v>
      </c>
      <c r="AI69" s="82">
        <f>IF(AI$63,19.59,NA())</f>
        <v>19.59</v>
      </c>
      <c r="AJ69" s="82" t="e">
        <f>IF(AJ$63,50.5,NA())</f>
        <v>#N/A</v>
      </c>
      <c r="AK69" s="82" t="e">
        <f>IF(AK$63,47.58,NA())</f>
        <v>#N/A</v>
      </c>
      <c r="AL69" s="82">
        <f>IF(AL$63,10.89,NA())</f>
        <v>10.89</v>
      </c>
      <c r="AM69" s="82" t="e">
        <f>IF(AM$63,22.73,NA())</f>
        <v>#N/A</v>
      </c>
      <c r="AN69" s="82" t="e">
        <f>IF(AN$63,47.36,NA())</f>
        <v>#N/A</v>
      </c>
      <c r="AO69" s="82" t="e">
        <f>IF(AO$63,30.37,NA())</f>
        <v>#N/A</v>
      </c>
      <c r="AP69" s="82" t="e">
        <f>IF(AP$63,33.73,NA())</f>
        <v>#N/A</v>
      </c>
      <c r="AQ69" s="82" t="e">
        <f>IF(AQ$63,28.58,NA())</f>
        <v>#N/A</v>
      </c>
      <c r="AR69" s="82" t="e">
        <f>IF(AR$63,17.98,NA())</f>
        <v>#N/A</v>
      </c>
      <c r="AS69" s="82" t="e">
        <f>IF(AS$63,48.63,NA())</f>
        <v>#N/A</v>
      </c>
      <c r="AT69" s="82" t="e">
        <f>IF(AT$63,34.92,NA())</f>
        <v>#N/A</v>
      </c>
      <c r="AU69" s="82">
        <f>IF(AU$63,11.46,NA())</f>
        <v>11.46</v>
      </c>
      <c r="AV69" s="82">
        <f>IF(AV$63,9.79,NA())</f>
        <v>9.7899999999999991</v>
      </c>
      <c r="AW69" s="82" t="e">
        <f>IF(AW$63,27.95,NA())</f>
        <v>#N/A</v>
      </c>
      <c r="AX69" s="82" t="e">
        <f>IF(AX$63,16.15,NA())</f>
        <v>#N/A</v>
      </c>
      <c r="AY69" s="82" t="e">
        <f>IF(AY$63,32,NA())</f>
        <v>#N/A</v>
      </c>
    </row>
    <row r="70" spans="1:51" x14ac:dyDescent="0.3">
      <c r="A70" s="81" t="s">
        <v>85</v>
      </c>
      <c r="B70" s="82">
        <f>IF(B$63,121.24,NA())</f>
        <v>121.24</v>
      </c>
      <c r="C70" s="82">
        <f>IF(C$63,36.13,NA())</f>
        <v>36.130000000000003</v>
      </c>
      <c r="D70" s="82">
        <f>IF(D$63,104.4,NA())</f>
        <v>104.4</v>
      </c>
      <c r="E70" s="82">
        <f>IF(E$63,20.37,NA())</f>
        <v>20.37</v>
      </c>
      <c r="F70" s="82">
        <f>IF(F$63,23.52,NA())</f>
        <v>23.52</v>
      </c>
      <c r="G70" s="82">
        <f>IF(G$63,15.29,NA())</f>
        <v>15.29</v>
      </c>
      <c r="H70" s="82" t="e">
        <f>IF(H$63,60.18,NA())</f>
        <v>#N/A</v>
      </c>
      <c r="I70" s="82" t="e">
        <f>IF(I$63,29.09,NA())</f>
        <v>#N/A</v>
      </c>
      <c r="J70" s="82" t="e">
        <f>NA()</f>
        <v>#N/A</v>
      </c>
      <c r="K70" s="82" t="e">
        <f>IF(K$63,27.26,NA())</f>
        <v>#N/A</v>
      </c>
      <c r="L70" s="82" t="e">
        <f>IF(L$63,32.1,NA())</f>
        <v>#N/A</v>
      </c>
      <c r="M70" s="82" t="e">
        <f>IF(M$63,61.21,NA())</f>
        <v>#N/A</v>
      </c>
      <c r="N70" s="82" t="e">
        <f>IF(N$63,30.22,NA())</f>
        <v>#N/A</v>
      </c>
      <c r="O70" s="82">
        <f>IF(O$63,25.92,NA())</f>
        <v>25.92</v>
      </c>
      <c r="P70" s="82" t="e">
        <f>IF(P$63,21.64,NA())</f>
        <v>#N/A</v>
      </c>
      <c r="Q70" s="82" t="e">
        <f>IF(Q$63,82.78,NA())</f>
        <v>#N/A</v>
      </c>
      <c r="R70" s="82">
        <f>IF(R$63,19.87,NA())</f>
        <v>19.87</v>
      </c>
      <c r="S70" s="82" t="e">
        <f>IF(S$63,50.12,NA())</f>
        <v>#N/A</v>
      </c>
      <c r="T70" s="82" t="e">
        <f>IF(T$63,40.64,NA())</f>
        <v>#N/A</v>
      </c>
      <c r="U70" s="82" t="e">
        <f>IF(U$63,85.1,NA())</f>
        <v>#N/A</v>
      </c>
      <c r="V70" s="82">
        <f>IF(V$63,20.18,NA())</f>
        <v>20.18</v>
      </c>
      <c r="W70" s="82" t="e">
        <f>IF(W$63,52.64,NA())</f>
        <v>#N/A</v>
      </c>
      <c r="X70" s="82" t="e">
        <f>IF(X$63,32.86,NA())</f>
        <v>#N/A</v>
      </c>
      <c r="Y70" s="82" t="e">
        <f>IF(Y$63,35.91,NA())</f>
        <v>#N/A</v>
      </c>
      <c r="Z70" s="82" t="e">
        <f>IF(Z$63,54.46,NA())</f>
        <v>#N/A</v>
      </c>
      <c r="AA70" s="82" t="e">
        <f>IF(AA$63,34.69,NA())</f>
        <v>#N/A</v>
      </c>
      <c r="AB70" s="82">
        <f>IF(AB$63,20.21,NA())</f>
        <v>20.21</v>
      </c>
      <c r="AC70" s="82" t="e">
        <f>IF(AC$63,49.1,NA())</f>
        <v>#N/A</v>
      </c>
      <c r="AD70" s="82" t="e">
        <f>IF(AD$63,46.21,NA())</f>
        <v>#N/A</v>
      </c>
      <c r="AE70" s="82" t="e">
        <f>IF(AE$63,57.24,NA())</f>
        <v>#N/A</v>
      </c>
      <c r="AF70" s="82" t="e">
        <f>IF(AF$63,29.22,NA())</f>
        <v>#N/A</v>
      </c>
      <c r="AG70" s="82" t="e">
        <f>IF(AG$63,35.02,NA())</f>
        <v>#N/A</v>
      </c>
      <c r="AH70" s="82" t="e">
        <f>IF(AH$63,22.64,NA())</f>
        <v>#N/A</v>
      </c>
      <c r="AI70" s="82">
        <f>IF(AI$63,20.34,NA())</f>
        <v>20.34</v>
      </c>
      <c r="AJ70" s="82" t="e">
        <f>IF(AJ$63,53.5,NA())</f>
        <v>#N/A</v>
      </c>
      <c r="AK70" s="82" t="e">
        <f>IF(AK$63,50.72,NA())</f>
        <v>#N/A</v>
      </c>
      <c r="AL70" s="82">
        <f>IF(AL$63,11.55,NA())</f>
        <v>11.55</v>
      </c>
      <c r="AM70" s="82" t="e">
        <f>IF(AM$63,22.04,NA())</f>
        <v>#N/A</v>
      </c>
      <c r="AN70" s="82" t="e">
        <f>IF(AN$63,52.4,NA())</f>
        <v>#N/A</v>
      </c>
      <c r="AO70" s="82" t="e">
        <f>IF(AO$63,30.74,NA())</f>
        <v>#N/A</v>
      </c>
      <c r="AP70" s="82" t="e">
        <f>IF(AP$63,35.29,NA())</f>
        <v>#N/A</v>
      </c>
      <c r="AQ70" s="82" t="e">
        <f>IF(AQ$63,30.56,NA())</f>
        <v>#N/A</v>
      </c>
      <c r="AR70" s="82" t="e">
        <f>IF(AR$63,19.11,NA())</f>
        <v>#N/A</v>
      </c>
      <c r="AS70" s="82" t="e">
        <f>IF(AS$63,48.12,NA())</f>
        <v>#N/A</v>
      </c>
      <c r="AT70" s="82" t="e">
        <f>IF(AT$63,38.88,NA())</f>
        <v>#N/A</v>
      </c>
      <c r="AU70" s="82">
        <f>IF(AU$63,13.37,NA())</f>
        <v>13.37</v>
      </c>
      <c r="AV70" s="82">
        <f>IF(AV$63,12.77,NA())</f>
        <v>12.77</v>
      </c>
      <c r="AW70" s="82" t="e">
        <f>IF(AW$63,29.94,NA())</f>
        <v>#N/A</v>
      </c>
      <c r="AX70" s="82" t="e">
        <f>IF(AX$63,16.15,NA())</f>
        <v>#N/A</v>
      </c>
      <c r="AY70" s="82" t="e">
        <f>IF(AY$63,35.02,NA())</f>
        <v>#N/A</v>
      </c>
    </row>
    <row r="71" spans="1:51" x14ac:dyDescent="0.3">
      <c r="A71" s="81" t="s">
        <v>86</v>
      </c>
      <c r="B71" s="82">
        <f>IF(B$63,124.06,NA())</f>
        <v>124.06</v>
      </c>
      <c r="C71" s="82">
        <f>IF(C$63,38.67,NA())</f>
        <v>38.67</v>
      </c>
      <c r="D71" s="82">
        <f>IF(D$63,107.62,NA())</f>
        <v>107.62</v>
      </c>
      <c r="E71" s="82">
        <f>IF(E$63,22.1,NA())</f>
        <v>22.1</v>
      </c>
      <c r="F71" s="82">
        <f>IF(F$63,25.44,NA())</f>
        <v>25.44</v>
      </c>
      <c r="G71" s="82">
        <f>IF(G$63,16.37,NA())</f>
        <v>16.37</v>
      </c>
      <c r="H71" s="82" t="e">
        <f>IF(H$63,62.72,NA())</f>
        <v>#N/A</v>
      </c>
      <c r="I71" s="82" t="e">
        <f>IF(I$63,28.96,NA())</f>
        <v>#N/A</v>
      </c>
      <c r="J71" s="82" t="e">
        <f>NA()</f>
        <v>#N/A</v>
      </c>
      <c r="K71" s="82" t="e">
        <f>IF(K$63,27.52,NA())</f>
        <v>#N/A</v>
      </c>
      <c r="L71" s="82" t="e">
        <f>IF(L$63,33.74,NA())</f>
        <v>#N/A</v>
      </c>
      <c r="M71" s="82" t="e">
        <f>IF(M$63,62.86,NA())</f>
        <v>#N/A</v>
      </c>
      <c r="N71" s="82" t="e">
        <f>IF(N$63,30.97,NA())</f>
        <v>#N/A</v>
      </c>
      <c r="O71" s="82">
        <f>IF(O$63,29.01,NA())</f>
        <v>29.01</v>
      </c>
      <c r="P71" s="82" t="e">
        <f>IF(P$63,20.75,NA())</f>
        <v>#N/A</v>
      </c>
      <c r="Q71" s="82" t="e">
        <f>IF(Q$63,82.78,NA())</f>
        <v>#N/A</v>
      </c>
      <c r="R71" s="82">
        <f>IF(R$63,20.08,NA())</f>
        <v>20.079999999999998</v>
      </c>
      <c r="S71" s="82" t="e">
        <f>IF(S$63,51.7,NA())</f>
        <v>#N/A</v>
      </c>
      <c r="T71" s="82" t="e">
        <f>IF(T$63,42.28,NA())</f>
        <v>#N/A</v>
      </c>
      <c r="U71" s="82" t="e">
        <f>IF(U$63,90.28,NA())</f>
        <v>#N/A</v>
      </c>
      <c r="V71" s="82">
        <f>IF(V$63,21.93,NA())</f>
        <v>21.93</v>
      </c>
      <c r="W71" s="82" t="e">
        <f>IF(W$63,54.69,NA())</f>
        <v>#N/A</v>
      </c>
      <c r="X71" s="82" t="e">
        <f>IF(X$63,33,NA())</f>
        <v>#N/A</v>
      </c>
      <c r="Y71" s="82" t="e">
        <f>IF(Y$63,35.91,NA())</f>
        <v>#N/A</v>
      </c>
      <c r="Z71" s="82" t="e">
        <f>IF(Z$63,56.61,NA())</f>
        <v>#N/A</v>
      </c>
      <c r="AA71" s="82" t="e">
        <f>IF(AA$63,38.09,NA())</f>
        <v>#N/A</v>
      </c>
      <c r="AB71" s="82">
        <f>IF(AB$63,20.77,NA())</f>
        <v>20.77</v>
      </c>
      <c r="AC71" s="82" t="e">
        <f>IF(AC$63,51.45,NA())</f>
        <v>#N/A</v>
      </c>
      <c r="AD71" s="82" t="e">
        <f>IF(AD$63,47.18,NA())</f>
        <v>#N/A</v>
      </c>
      <c r="AE71" s="82" t="e">
        <f>IF(AE$63,58.1,NA())</f>
        <v>#N/A</v>
      </c>
      <c r="AF71" s="82" t="e">
        <f>IF(AF$63,30.13,NA())</f>
        <v>#N/A</v>
      </c>
      <c r="AG71" s="82" t="e">
        <f>IF(AG$63,38.74,NA())</f>
        <v>#N/A</v>
      </c>
      <c r="AH71" s="82" t="e">
        <f>IF(AH$63,24.18,NA())</f>
        <v>#N/A</v>
      </c>
      <c r="AI71" s="82">
        <f>IF(AI$63,19.59,NA())</f>
        <v>19.59</v>
      </c>
      <c r="AJ71" s="82" t="e">
        <f>IF(AJ$63,54.78,NA())</f>
        <v>#N/A</v>
      </c>
      <c r="AK71" s="82" t="e">
        <f>IF(AK$63,53.31,NA())</f>
        <v>#N/A</v>
      </c>
      <c r="AL71" s="82">
        <f>IF(AL$63,13.54,NA())</f>
        <v>13.54</v>
      </c>
      <c r="AM71" s="82" t="e">
        <f>IF(AM$63,25.49,NA())</f>
        <v>#N/A</v>
      </c>
      <c r="AN71" s="82" t="e">
        <f>IF(AN$63,53.41,NA())</f>
        <v>#N/A</v>
      </c>
      <c r="AO71" s="82" t="e">
        <f>IF(AO$63,32.59,NA())</f>
        <v>#N/A</v>
      </c>
      <c r="AP71" s="82" t="e">
        <f>IF(AP$63,34.77,NA())</f>
        <v>#N/A</v>
      </c>
      <c r="AQ71" s="82" t="e">
        <f>IF(AQ$63,30.36,NA())</f>
        <v>#N/A</v>
      </c>
      <c r="AR71" s="82" t="e">
        <f>IF(AR$63,19.67,NA())</f>
        <v>#N/A</v>
      </c>
      <c r="AS71" s="82" t="e">
        <f>IF(AS$63,48.8,NA())</f>
        <v>#N/A</v>
      </c>
      <c r="AT71" s="82" t="e">
        <f>IF(AT$63,41.18,NA())</f>
        <v>#N/A</v>
      </c>
      <c r="AU71" s="82">
        <f>IF(AU$63,13.37,NA())</f>
        <v>13.37</v>
      </c>
      <c r="AV71" s="82">
        <f>IF(AV$63,12.77,NA())</f>
        <v>12.77</v>
      </c>
      <c r="AW71" s="82" t="e">
        <f>IF(AW$63,30.94,NA())</f>
        <v>#N/A</v>
      </c>
      <c r="AX71" s="82" t="e">
        <f>IF(AX$63,17,NA())</f>
        <v>#N/A</v>
      </c>
      <c r="AY71" s="82" t="e">
        <f>IF(AY$63,36.83,NA())</f>
        <v>#N/A</v>
      </c>
    </row>
    <row r="72" spans="1:51" x14ac:dyDescent="0.3">
      <c r="A72" s="81" t="s">
        <v>87</v>
      </c>
      <c r="B72" s="82">
        <f>IF(B$63,126.7,NA())</f>
        <v>126.7</v>
      </c>
      <c r="C72" s="82">
        <f>IF(C$63,38.67,NA())</f>
        <v>38.67</v>
      </c>
      <c r="D72" s="82">
        <f>IF(D$63,108.33,NA())</f>
        <v>108.33</v>
      </c>
      <c r="E72" s="82">
        <f>IF(E$63,24.17,NA())</f>
        <v>24.17</v>
      </c>
      <c r="F72" s="82">
        <f>IF(F$63,28.32,NA())</f>
        <v>28.32</v>
      </c>
      <c r="G72" s="82">
        <f>IF(G$63,16.55,NA())</f>
        <v>16.55</v>
      </c>
      <c r="H72" s="82" t="e">
        <f>IF(H$63,66.7,NA())</f>
        <v>#N/A</v>
      </c>
      <c r="I72" s="82" t="e">
        <f>IF(I$63,31.09,NA())</f>
        <v>#N/A</v>
      </c>
      <c r="J72" s="82" t="e">
        <f>NA()</f>
        <v>#N/A</v>
      </c>
      <c r="K72" s="82" t="e">
        <f>IF(K$63,28.52,NA())</f>
        <v>#N/A</v>
      </c>
      <c r="L72" s="82" t="e">
        <f>IF(L$63,36.76,NA())</f>
        <v>#N/A</v>
      </c>
      <c r="M72" s="82" t="e">
        <f>IF(M$63,67,NA())</f>
        <v>#N/A</v>
      </c>
      <c r="N72" s="82" t="e">
        <f>IF(N$63,31.73,NA())</f>
        <v>#N/A</v>
      </c>
      <c r="O72" s="82">
        <f>IF(O$63,31.33,NA())</f>
        <v>31.33</v>
      </c>
      <c r="P72" s="82" t="e">
        <f>IF(P$63,20.31,NA())</f>
        <v>#N/A</v>
      </c>
      <c r="Q72" s="82" t="e">
        <f>IF(Q$63,83.72,NA())</f>
        <v>#N/A</v>
      </c>
      <c r="R72" s="82">
        <f>IF(R$63,21.78,NA())</f>
        <v>21.78</v>
      </c>
      <c r="S72" s="82" t="e">
        <f>IF(S$63,53.87,NA())</f>
        <v>#N/A</v>
      </c>
      <c r="T72" s="82" t="e">
        <f>IF(T$63,43.47,NA())</f>
        <v>#N/A</v>
      </c>
      <c r="U72" s="82" t="e">
        <f>IF(U$63,90.85,NA())</f>
        <v>#N/A</v>
      </c>
      <c r="V72" s="82">
        <f>IF(V$63,23.69,NA())</f>
        <v>23.69</v>
      </c>
      <c r="W72" s="82" t="e">
        <f>IF(W$63,55.65,NA())</f>
        <v>#N/A</v>
      </c>
      <c r="X72" s="82" t="e">
        <f>IF(X$63,35.39,NA())</f>
        <v>#N/A</v>
      </c>
      <c r="Y72" s="82" t="e">
        <f>IF(Y$63,37.09,NA())</f>
        <v>#N/A</v>
      </c>
      <c r="Z72" s="82" t="e">
        <f>IF(Z$63,59.12,NA())</f>
        <v>#N/A</v>
      </c>
      <c r="AA72" s="82" t="e">
        <f>IF(AA$63,39.46,NA())</f>
        <v>#N/A</v>
      </c>
      <c r="AB72" s="82">
        <f>IF(AB$63,21.28,NA())</f>
        <v>21.28</v>
      </c>
      <c r="AC72" s="82" t="e">
        <f>IF(AC$63,52.16,NA())</f>
        <v>#N/A</v>
      </c>
      <c r="AD72" s="82" t="e">
        <f>IF(AD$63,49.1,NA())</f>
        <v>#N/A</v>
      </c>
      <c r="AE72" s="82" t="e">
        <f>IF(AE$63,59.24,NA())</f>
        <v>#N/A</v>
      </c>
      <c r="AF72" s="82" t="e">
        <f>IF(AF$63,29.22,NA())</f>
        <v>#N/A</v>
      </c>
      <c r="AG72" s="82" t="e">
        <f>IF(AG$63,38.74,NA())</f>
        <v>#N/A</v>
      </c>
      <c r="AH72" s="82" t="e">
        <f>IF(AH$63,22.64,NA())</f>
        <v>#N/A</v>
      </c>
      <c r="AI72" s="82">
        <f>IF(AI$63,18.83,NA())</f>
        <v>18.829999999999998</v>
      </c>
      <c r="AJ72" s="82" t="e">
        <f>IF(AJ$63,57.35,NA())</f>
        <v>#N/A</v>
      </c>
      <c r="AK72" s="82" t="e">
        <f>IF(AK$63,54.61,NA())</f>
        <v>#N/A</v>
      </c>
      <c r="AL72" s="82">
        <f>IF(AL$63,14.2,NA())</f>
        <v>14.2</v>
      </c>
      <c r="AM72" s="82" t="e">
        <f>IF(AM$63,24.11,NA())</f>
        <v>#N/A</v>
      </c>
      <c r="AN72" s="82" t="e">
        <f>IF(AN$63,55.42,NA())</f>
        <v>#N/A</v>
      </c>
      <c r="AO72" s="82" t="e">
        <f>IF(AO$63,34.81,NA())</f>
        <v>#N/A</v>
      </c>
      <c r="AP72" s="82" t="e">
        <f>IF(AP$63,35.29,NA())</f>
        <v>#N/A</v>
      </c>
      <c r="AQ72" s="82" t="e">
        <f>IF(AQ$63,28.39,NA())</f>
        <v>#N/A</v>
      </c>
      <c r="AR72" s="82" t="e">
        <f>IF(AR$63,21.92,NA())</f>
        <v>#N/A</v>
      </c>
      <c r="AS72" s="82" t="e">
        <f>IF(AS$63,48.8,NA())</f>
        <v>#N/A</v>
      </c>
      <c r="AT72" s="82" t="e">
        <f>IF(AT$63,42.06,NA())</f>
        <v>#N/A</v>
      </c>
      <c r="AU72" s="82">
        <f>IF(AU$63,12.41,NA())</f>
        <v>12.41</v>
      </c>
      <c r="AV72" s="82">
        <f>IF(AV$63,11.92,NA())</f>
        <v>11.92</v>
      </c>
      <c r="AW72" s="82" t="e">
        <f>IF(AW$63,34.94,NA())</f>
        <v>#N/A</v>
      </c>
      <c r="AX72" s="82" t="e">
        <f>IF(AX$63,14.45,NA())</f>
        <v>#N/A</v>
      </c>
      <c r="AY72" s="82" t="e">
        <f>IF(AY$63,38.34,NA())</f>
        <v>#N/A</v>
      </c>
    </row>
    <row r="73" spans="1:51" x14ac:dyDescent="0.3">
      <c r="A73" s="81" t="s">
        <v>88</v>
      </c>
      <c r="B73" s="82">
        <f>IF(B$63,131.45,NA())</f>
        <v>131.44999999999999</v>
      </c>
      <c r="C73" s="82">
        <f>IF(C$63,37.4,NA())</f>
        <v>37.4</v>
      </c>
      <c r="D73" s="82">
        <f>IF(D$63,105.83,NA())</f>
        <v>105.83</v>
      </c>
      <c r="E73" s="82">
        <f>IF(E$63,26.24,NA())</f>
        <v>26.24</v>
      </c>
      <c r="F73" s="82">
        <f>IF(F$63,32.64,NA())</f>
        <v>32.64</v>
      </c>
      <c r="G73" s="82">
        <f>IF(G$63,16.91,NA())</f>
        <v>16.91</v>
      </c>
      <c r="H73" s="82" t="e">
        <f>IF(H$63,68.4,NA())</f>
        <v>#N/A</v>
      </c>
      <c r="I73" s="82" t="e">
        <f>IF(I$63,32.68,NA())</f>
        <v>#N/A</v>
      </c>
      <c r="J73" s="82" t="e">
        <f>NA()</f>
        <v>#N/A</v>
      </c>
      <c r="K73" s="82" t="e">
        <f>IF(K$63,29.53,NA())</f>
        <v>#N/A</v>
      </c>
      <c r="L73" s="82" t="e">
        <f>IF(L$63,38.13,NA())</f>
        <v>#N/A</v>
      </c>
      <c r="M73" s="82" t="e">
        <f>IF(M$63,68.1,NA())</f>
        <v>#N/A</v>
      </c>
      <c r="N73" s="82" t="e">
        <f>IF(N$63,26.44,NA())</f>
        <v>#N/A</v>
      </c>
      <c r="O73" s="82">
        <f>IF(O$63,33.65,NA())</f>
        <v>33.65</v>
      </c>
      <c r="P73" s="82" t="e">
        <f>IF(P$63,21.64,NA())</f>
        <v>#N/A</v>
      </c>
      <c r="Q73" s="82" t="e">
        <f>IF(Q$63,85.6,NA())</f>
        <v>#N/A</v>
      </c>
      <c r="R73" s="82">
        <f>IF(R$63,21.99,NA())</f>
        <v>21.99</v>
      </c>
      <c r="S73" s="82" t="e">
        <f>IF(S$63,57.23,NA())</f>
        <v>#N/A</v>
      </c>
      <c r="T73" s="82" t="e">
        <f>IF(T$63,46.45,NA())</f>
        <v>#N/A</v>
      </c>
      <c r="U73" s="82" t="e">
        <f>IF(U$63,84.53,NA())</f>
        <v>#N/A</v>
      </c>
      <c r="V73" s="82">
        <f>IF(V$63,21.93,NA())</f>
        <v>21.93</v>
      </c>
      <c r="W73" s="82" t="e">
        <f>IF(W$63,56.07,NA())</f>
        <v>#N/A</v>
      </c>
      <c r="X73" s="82" t="e">
        <f>IF(X$63,36.25,NA())</f>
        <v>#N/A</v>
      </c>
      <c r="Y73" s="82" t="e">
        <f>IF(Y$63,37.09,NA())</f>
        <v>#N/A</v>
      </c>
      <c r="Z73" s="82" t="e">
        <f>IF(Z$63,59.12,NA())</f>
        <v>#N/A</v>
      </c>
      <c r="AA73" s="82" t="e">
        <f>IF(AA$63,42.18,NA())</f>
        <v>#N/A</v>
      </c>
      <c r="AB73" s="82">
        <f>IF(AB$63,21.15,NA())</f>
        <v>21.15</v>
      </c>
      <c r="AC73" s="82" t="e">
        <f>IF(AC$63,53.18,NA())</f>
        <v>#N/A</v>
      </c>
      <c r="AD73" s="82" t="e">
        <f>IF(AD$63,49.1,NA())</f>
        <v>#N/A</v>
      </c>
      <c r="AE73" s="82" t="e">
        <f>IF(AE$63,60.95,NA())</f>
        <v>#N/A</v>
      </c>
      <c r="AF73" s="82" t="e">
        <f>IF(AF$63,31.05,NA())</f>
        <v>#N/A</v>
      </c>
      <c r="AG73" s="82" t="e">
        <f>IF(AG$63,42.47,NA())</f>
        <v>#N/A</v>
      </c>
      <c r="AH73" s="82" t="e">
        <f>IF(AH$63,25.21,NA())</f>
        <v>#N/A</v>
      </c>
      <c r="AI73" s="82">
        <f>IF(AI$63,20.34,NA())</f>
        <v>20.34</v>
      </c>
      <c r="AJ73" s="82" t="e">
        <f>IF(AJ$63,57.35,NA())</f>
        <v>#N/A</v>
      </c>
      <c r="AK73" s="82" t="e">
        <f>IF(AK$63,54.83,NA())</f>
        <v>#N/A</v>
      </c>
      <c r="AL73" s="82">
        <f>IF(AL$63,12.88,NA())</f>
        <v>12.88</v>
      </c>
      <c r="AM73" s="82" t="e">
        <f>IF(AM$63,26.18,NA())</f>
        <v>#N/A</v>
      </c>
      <c r="AN73" s="82" t="e">
        <f>IF(AN$63,58.7,NA())</f>
        <v>#N/A</v>
      </c>
      <c r="AO73" s="82" t="e">
        <f>IF(AO$63,36.2,NA())</f>
        <v>#N/A</v>
      </c>
      <c r="AP73" s="82" t="e">
        <f>IF(AP$63,35.29,NA())</f>
        <v>#N/A</v>
      </c>
      <c r="AQ73" s="82" t="e">
        <f>IF(AQ$63,29.37,NA())</f>
        <v>#N/A</v>
      </c>
      <c r="AR73" s="82" t="e">
        <f>IF(AR$63,24.17,NA())</f>
        <v>#N/A</v>
      </c>
      <c r="AS73" s="82" t="e">
        <f>IF(AS$63,48.8,NA())</f>
        <v>#N/A</v>
      </c>
      <c r="AT73" s="82" t="e">
        <f>IF(AT$63,43.27,NA())</f>
        <v>#N/A</v>
      </c>
      <c r="AU73" s="82">
        <f>IF(AU$63,14.32,NA())</f>
        <v>14.32</v>
      </c>
      <c r="AV73" s="82">
        <f>IF(AV$63,13.62,NA())</f>
        <v>13.62</v>
      </c>
      <c r="AW73" s="82" t="e">
        <f>IF(AW$63,44.92,NA())</f>
        <v>#N/A</v>
      </c>
      <c r="AX73" s="82" t="e">
        <f>IF(AX$63,15.3,NA())</f>
        <v>#N/A</v>
      </c>
      <c r="AY73" s="82" t="e">
        <f>IF(AY$63,38.34,NA())</f>
        <v>#N/A</v>
      </c>
    </row>
    <row r="74" spans="1:51" x14ac:dyDescent="0.3">
      <c r="A74" s="81" t="s">
        <v>89</v>
      </c>
      <c r="B74" s="82">
        <f>IF(B$63,137.08,NA())</f>
        <v>137.08000000000001</v>
      </c>
      <c r="C74" s="82">
        <f>IF(C$63,36.76,NA())</f>
        <v>36.76</v>
      </c>
      <c r="D74" s="82">
        <f>IF(D$63,102.97,NA())</f>
        <v>102.97</v>
      </c>
      <c r="E74" s="82">
        <f>IF(E$63,27.28,NA())</f>
        <v>27.28</v>
      </c>
      <c r="F74" s="82">
        <f>IF(F$63,32.64,NA())</f>
        <v>32.64</v>
      </c>
      <c r="G74" s="82">
        <f>IF(G$63,16.55,NA())</f>
        <v>16.55</v>
      </c>
      <c r="H74" s="82" t="e">
        <f>IF(H$63,68.28,NA())</f>
        <v>#N/A</v>
      </c>
      <c r="I74" s="82" t="e">
        <f>IF(I$63,34.14,NA())</f>
        <v>#N/A</v>
      </c>
      <c r="J74" s="82" t="e">
        <f>NA()</f>
        <v>#N/A</v>
      </c>
      <c r="K74" s="82" t="e">
        <f>IF(K$63,29.78,NA())</f>
        <v>#N/A</v>
      </c>
      <c r="L74" s="82" t="e">
        <f>IF(L$63,38.54,NA())</f>
        <v>#N/A</v>
      </c>
      <c r="M74" s="82" t="e">
        <f>IF(M$63,70.58,NA())</f>
        <v>#N/A</v>
      </c>
      <c r="N74" s="82" t="e">
        <f>IF(N$63,26.44,NA())</f>
        <v>#N/A</v>
      </c>
      <c r="O74" s="82">
        <f>IF(O$63,32.88,NA())</f>
        <v>32.880000000000003</v>
      </c>
      <c r="P74" s="82" t="e">
        <f>IF(P$63,21.64,NA())</f>
        <v>#N/A</v>
      </c>
      <c r="Q74" s="82" t="e">
        <f>IF(Q$63,84.66,NA())</f>
        <v>#N/A</v>
      </c>
      <c r="R74" s="82">
        <f>IF(R$63,23.27,NA())</f>
        <v>23.27</v>
      </c>
      <c r="S74" s="82" t="e">
        <f>IF(S$63,59.79,NA())</f>
        <v>#N/A</v>
      </c>
      <c r="T74" s="82" t="e">
        <f>IF(T$63,47.93,NA())</f>
        <v>#N/A</v>
      </c>
      <c r="U74" s="82" t="e">
        <f>IF(U$63,92.58,NA())</f>
        <v>#N/A</v>
      </c>
      <c r="V74" s="82">
        <f>IF(V$63,26.32,NA())</f>
        <v>26.32</v>
      </c>
      <c r="W74" s="82" t="e">
        <f>IF(W$63,57.57,NA())</f>
        <v>#N/A</v>
      </c>
      <c r="X74" s="82" t="e">
        <f>IF(X$63,37.84,NA())</f>
        <v>#N/A</v>
      </c>
      <c r="Y74" s="82" t="e">
        <f>IF(Y$63,37.09,NA())</f>
        <v>#N/A</v>
      </c>
      <c r="Z74" s="82" t="e">
        <f>IF(Z$63,59.12,NA())</f>
        <v>#N/A</v>
      </c>
      <c r="AA74" s="82" t="e">
        <f>IF(AA$63,46.26,NA())</f>
        <v>#N/A</v>
      </c>
      <c r="AB74" s="82">
        <f>IF(AB$63,20.77,NA())</f>
        <v>20.77</v>
      </c>
      <c r="AC74" s="82" t="e">
        <f>IF(AC$63,55.32,NA())</f>
        <v>#N/A</v>
      </c>
      <c r="AD74" s="82" t="e">
        <f>IF(AD$63,49.1,NA())</f>
        <v>#N/A</v>
      </c>
      <c r="AE74" s="82" t="e">
        <f>IF(AE$63,60.8,NA())</f>
        <v>#N/A</v>
      </c>
      <c r="AF74" s="82" t="e">
        <f>IF(AF$63,32.87,NA())</f>
        <v>#N/A</v>
      </c>
      <c r="AG74" s="82" t="e">
        <f>IF(AG$63,42.47,NA())</f>
        <v>#N/A</v>
      </c>
      <c r="AH74" s="82" t="e">
        <f>IF(AH$63,29.84,NA())</f>
        <v>#N/A</v>
      </c>
      <c r="AI74" s="82">
        <f>IF(AI$63,24.86,NA())</f>
        <v>24.86</v>
      </c>
      <c r="AJ74" s="82" t="e">
        <f>IF(AJ$63,60.35,NA())</f>
        <v>#N/A</v>
      </c>
      <c r="AK74" s="82" t="e">
        <f>IF(AK$63,55.26,NA())</f>
        <v>#N/A</v>
      </c>
      <c r="AL74" s="82">
        <f>IF(AL$63,13.54,NA())</f>
        <v>13.54</v>
      </c>
      <c r="AM74" s="82" t="e">
        <f>IF(AM$63,29.62,NA())</f>
        <v>#N/A</v>
      </c>
      <c r="AN74" s="82" t="e">
        <f>IF(AN$63,60.46,NA())</f>
        <v>#N/A</v>
      </c>
      <c r="AO74" s="82" t="e">
        <f>IF(AO$63,37.68,NA())</f>
        <v>#N/A</v>
      </c>
      <c r="AP74" s="82" t="e">
        <f>IF(AP$63,33.73,NA())</f>
        <v>#N/A</v>
      </c>
      <c r="AQ74" s="82" t="e">
        <f>IF(AQ$63,28.78,NA())</f>
        <v>#N/A</v>
      </c>
      <c r="AR74" s="82" t="e">
        <f>IF(AR$63,23.6,NA())</f>
        <v>#N/A</v>
      </c>
      <c r="AS74" s="82" t="e">
        <f>IF(AS$63,48.12,NA())</f>
        <v>#N/A</v>
      </c>
      <c r="AT74" s="82" t="e">
        <f>IF(AT$63,44.26,NA())</f>
        <v>#N/A</v>
      </c>
      <c r="AU74" s="82">
        <f>IF(AU$63,13.37,NA())</f>
        <v>13.37</v>
      </c>
      <c r="AV74" s="82">
        <f>IF(AV$63,14.05,NA())</f>
        <v>14.05</v>
      </c>
      <c r="AW74" s="82" t="e">
        <f>IF(AW$63,46.91,NA())</f>
        <v>#N/A</v>
      </c>
      <c r="AX74" s="82" t="e">
        <f>IF(AX$63,17.86,NA())</f>
        <v>#N/A</v>
      </c>
      <c r="AY74" s="82" t="e">
        <f>IF(AY$63,40.45,NA())</f>
        <v>#N/A</v>
      </c>
    </row>
    <row r="75" spans="1:51" x14ac:dyDescent="0.3">
      <c r="A75" s="81" t="s">
        <v>90</v>
      </c>
      <c r="B75" s="82">
        <f>IF(B$63,142.89,NA())</f>
        <v>142.88999999999999</v>
      </c>
      <c r="C75" s="82">
        <f>IF(C$63,38.67,NA())</f>
        <v>38.67</v>
      </c>
      <c r="D75" s="82">
        <f>IF(D$63,105.47,NA())</f>
        <v>105.47</v>
      </c>
      <c r="E75" s="82">
        <f>IF(E$63,26.93,NA())</f>
        <v>26.93</v>
      </c>
      <c r="F75" s="82">
        <f>IF(F$63,33.12,NA())</f>
        <v>33.119999999999997</v>
      </c>
      <c r="G75" s="82">
        <f>IF(G$63,17.09,NA())</f>
        <v>17.09</v>
      </c>
      <c r="H75" s="82" t="e">
        <f>IF(H$63,69.61,NA())</f>
        <v>#N/A</v>
      </c>
      <c r="I75" s="82" t="e">
        <f>IF(I$63,33.87,NA())</f>
        <v>#N/A</v>
      </c>
      <c r="J75" s="82" t="e">
        <f>NA()</f>
        <v>#N/A</v>
      </c>
      <c r="K75" s="82" t="e">
        <f>IF(K$63,30.78,NA())</f>
        <v>#N/A</v>
      </c>
      <c r="L75" s="82" t="e">
        <f>IF(L$63,40.05,NA())</f>
        <v>#N/A</v>
      </c>
      <c r="M75" s="82" t="e">
        <f>IF(M$63,70.86,NA())</f>
        <v>#N/A</v>
      </c>
      <c r="N75" s="82" t="e">
        <f>IF(N$63,27.95,NA())</f>
        <v>#N/A</v>
      </c>
      <c r="O75" s="82">
        <f>IF(O$63,31.33,NA())</f>
        <v>31.33</v>
      </c>
      <c r="P75" s="82" t="e">
        <f>IF(P$63,24.28,NA())</f>
        <v>#N/A</v>
      </c>
      <c r="Q75" s="82" t="e">
        <f>IF(Q$63,92.19,NA())</f>
        <v>#N/A</v>
      </c>
      <c r="R75" s="82">
        <f>IF(R$63,24.12,NA())</f>
        <v>24.12</v>
      </c>
      <c r="S75" s="82" t="e">
        <f>IF(S$63,64.13,NA())</f>
        <v>#N/A</v>
      </c>
      <c r="T75" s="82" t="e">
        <f>IF(T$63,49.42,NA())</f>
        <v>#N/A</v>
      </c>
      <c r="U75" s="82" t="e">
        <f>IF(U$63,95.45,NA())</f>
        <v>#N/A</v>
      </c>
      <c r="V75" s="82">
        <f>IF(V$63,27.2,NA())</f>
        <v>27.2</v>
      </c>
      <c r="W75" s="82" t="e">
        <f>IF(W$63,58.4,NA())</f>
        <v>#N/A</v>
      </c>
      <c r="X75" s="82" t="e">
        <f>IF(X$63,39,NA())</f>
        <v>#N/A</v>
      </c>
      <c r="Y75" s="82" t="e">
        <f>IF(Y$63,40.03,NA())</f>
        <v>#N/A</v>
      </c>
      <c r="Z75" s="82" t="e">
        <f>IF(Z$63,59.47,NA())</f>
        <v>#N/A</v>
      </c>
      <c r="AA75" s="82" t="e">
        <f>IF(AA$63,48.3,NA())</f>
        <v>#N/A</v>
      </c>
      <c r="AB75" s="82">
        <f>IF(AB$63,20.72,NA())</f>
        <v>20.72</v>
      </c>
      <c r="AC75" s="82" t="e">
        <f>IF(AC$63,56.33,NA())</f>
        <v>#N/A</v>
      </c>
      <c r="AD75" s="82" t="e">
        <f>IF(AD$63,46.21,NA())</f>
        <v>#N/A</v>
      </c>
      <c r="AE75" s="82" t="e">
        <f>IF(AE$63,61.66,NA())</f>
        <v>#N/A</v>
      </c>
      <c r="AF75" s="82" t="e">
        <f>IF(AF$63,31.96,NA())</f>
        <v>#N/A</v>
      </c>
      <c r="AG75" s="82" t="e">
        <f>IF(AG$63,40.98,NA())</f>
        <v>#N/A</v>
      </c>
      <c r="AH75" s="82" t="e">
        <f>IF(AH$63,28.3,NA())</f>
        <v>#N/A</v>
      </c>
      <c r="AI75" s="82">
        <f>IF(AI$63,26.37,NA())</f>
        <v>26.37</v>
      </c>
      <c r="AJ75" s="82" t="e">
        <f>IF(AJ$63,61.63,NA())</f>
        <v>#N/A</v>
      </c>
      <c r="AK75" s="82" t="e">
        <f>IF(AK$63,54.5,NA())</f>
        <v>#N/A</v>
      </c>
      <c r="AL75" s="82">
        <f>IF(AL$63,15.52,NA())</f>
        <v>15.52</v>
      </c>
      <c r="AM75" s="82" t="e">
        <f>IF(AM$63,29.62,NA())</f>
        <v>#N/A</v>
      </c>
      <c r="AN75" s="82" t="e">
        <f>IF(AN$63,62.48,NA())</f>
        <v>#N/A</v>
      </c>
      <c r="AO75" s="82" t="e">
        <f>IF(AO$63,37.31,NA())</f>
        <v>#N/A</v>
      </c>
      <c r="AP75" s="82" t="e">
        <f>IF(AP$63,34.25,NA())</f>
        <v>#N/A</v>
      </c>
      <c r="AQ75" s="82" t="e">
        <f>IF(AQ$63,30.36,NA())</f>
        <v>#N/A</v>
      </c>
      <c r="AR75" s="82" t="e">
        <f>IF(AR$63,24.17,NA())</f>
        <v>#N/A</v>
      </c>
      <c r="AS75" s="82" t="e">
        <f>IF(AS$63,47.44,NA())</f>
        <v>#N/A</v>
      </c>
      <c r="AT75" s="82" t="e">
        <f>IF(AT$63,46.9,NA())</f>
        <v>#N/A</v>
      </c>
      <c r="AU75" s="82">
        <f>IF(AU$63,14.32,NA())</f>
        <v>14.32</v>
      </c>
      <c r="AV75" s="82">
        <f>IF(AV$63,14.47,NA())</f>
        <v>14.47</v>
      </c>
      <c r="AW75" s="82" t="e">
        <f>IF(AW$63,46.91,NA())</f>
        <v>#N/A</v>
      </c>
      <c r="AX75" s="82" t="e">
        <f>IF(AX$63,17.86,NA())</f>
        <v>#N/A</v>
      </c>
      <c r="AY75" s="82" t="e">
        <f>IF(AY$63,39.85,NA())</f>
        <v>#N/A</v>
      </c>
    </row>
    <row r="76" spans="1:51" x14ac:dyDescent="0.3">
      <c r="A76" s="81" t="s">
        <v>91</v>
      </c>
      <c r="B76" s="82">
        <f>IF(B$63,143.42,NA())</f>
        <v>143.41999999999999</v>
      </c>
      <c r="C76" s="82">
        <f>IF(C$63,38.67,NA())</f>
        <v>38.67</v>
      </c>
      <c r="D76" s="82">
        <f>IF(D$63,107.97,NA())</f>
        <v>107.97</v>
      </c>
      <c r="E76" s="82">
        <f>IF(E$63,29.01,NA())</f>
        <v>29.01</v>
      </c>
      <c r="F76" s="82">
        <f>IF(F$63,33.12,NA())</f>
        <v>33.119999999999997</v>
      </c>
      <c r="G76" s="82">
        <f>IF(G$63,17.81,NA())</f>
        <v>17.809999999999999</v>
      </c>
      <c r="H76" s="82" t="e">
        <f>IF(H$63,68.15,NA())</f>
        <v>#N/A</v>
      </c>
      <c r="I76" s="82" t="e">
        <f>IF(I$63,34.27,NA())</f>
        <v>#N/A</v>
      </c>
      <c r="J76" s="82" t="e">
        <f>NA()</f>
        <v>#N/A</v>
      </c>
      <c r="K76" s="82" t="e">
        <f>IF(K$63,31.79,NA())</f>
        <v>#N/A</v>
      </c>
      <c r="L76" s="82" t="e">
        <f>IF(L$63,40.33,NA())</f>
        <v>#N/A</v>
      </c>
      <c r="M76" s="82" t="e">
        <f>IF(M$63,72.79,NA())</f>
        <v>#N/A</v>
      </c>
      <c r="N76" s="82" t="e">
        <f>IF(N$63,30.22,NA())</f>
        <v>#N/A</v>
      </c>
      <c r="O76" s="82">
        <f>IF(O$63,31.33,NA())</f>
        <v>31.33</v>
      </c>
      <c r="P76" s="82" t="e">
        <f>IF(P$63,24.73,NA())</f>
        <v>#N/A</v>
      </c>
      <c r="Q76" s="82" t="e">
        <f>IF(Q$63,90.31,NA())</f>
        <v>#N/A</v>
      </c>
      <c r="R76" s="82">
        <f>IF(R$63,25.5,NA())</f>
        <v>25.5</v>
      </c>
      <c r="S76" s="82" t="e">
        <f>IF(S$63,62.56,NA())</f>
        <v>#N/A</v>
      </c>
      <c r="T76" s="82" t="e">
        <f>IF(T$63,51.51,NA())</f>
        <v>#N/A</v>
      </c>
      <c r="U76" s="82" t="e">
        <f>IF(U$63,102.93,NA())</f>
        <v>#N/A</v>
      </c>
      <c r="V76" s="82">
        <f>IF(V$63,26.32,NA())</f>
        <v>26.32</v>
      </c>
      <c r="W76" s="82" t="e">
        <f>IF(W$63,61,NA())</f>
        <v>#N/A</v>
      </c>
      <c r="X76" s="82" t="e">
        <f>IF(X$63,39.79,NA())</f>
        <v>#N/A</v>
      </c>
      <c r="Y76" s="82" t="e">
        <f>IF(Y$63,40.62,NA())</f>
        <v>#N/A</v>
      </c>
      <c r="Z76" s="82" t="e">
        <f>IF(Z$63,57.32,NA())</f>
        <v>#N/A</v>
      </c>
      <c r="AA76" s="82" t="e">
        <f>IF(AA$63,49.66,NA())</f>
        <v>#N/A</v>
      </c>
      <c r="AB76" s="82">
        <f>IF(AB$63,21.11,NA())</f>
        <v>21.11</v>
      </c>
      <c r="AC76" s="82" t="e">
        <f>IF(AC$63,58.17,NA())</f>
        <v>#N/A</v>
      </c>
      <c r="AD76" s="82" t="e">
        <f>IF(AD$63,45.25,NA())</f>
        <v>#N/A</v>
      </c>
      <c r="AE76" s="82" t="e">
        <f>IF(AE$63,61.8,NA())</f>
        <v>#N/A</v>
      </c>
      <c r="AF76" s="82" t="e">
        <f>IF(AF$63,37.44,NA())</f>
        <v>#N/A</v>
      </c>
      <c r="AG76" s="82" t="e">
        <f>IF(AG$63,38.74,NA())</f>
        <v>#N/A</v>
      </c>
      <c r="AH76" s="82" t="e">
        <f>IF(AH$63,29.33,NA())</f>
        <v>#N/A</v>
      </c>
      <c r="AI76" s="82">
        <f>IF(AI$63,27.87,NA())</f>
        <v>27.87</v>
      </c>
      <c r="AJ76" s="82" t="e">
        <f>IF(AJ$63,62.49,NA())</f>
        <v>#N/A</v>
      </c>
      <c r="AK76" s="82" t="e">
        <f>IF(AK$63,53.96,NA())</f>
        <v>#N/A</v>
      </c>
      <c r="AL76" s="82">
        <f>IF(AL$63,15.52,NA())</f>
        <v>15.52</v>
      </c>
      <c r="AM76" s="82" t="e">
        <f>IF(AM$63,28.93,NA())</f>
        <v>#N/A</v>
      </c>
      <c r="AN76" s="82" t="e">
        <f>IF(AN$63,65.38,NA())</f>
        <v>#N/A</v>
      </c>
      <c r="AO76" s="82" t="e">
        <f>IF(AO$63,38.14,NA())</f>
        <v>#N/A</v>
      </c>
      <c r="AP76" s="82" t="e">
        <f>IF(AP$63,34.77,NA())</f>
        <v>#N/A</v>
      </c>
      <c r="AQ76" s="82" t="e">
        <f>IF(AQ$63,30.16,NA())</f>
        <v>#N/A</v>
      </c>
      <c r="AR76" s="82" t="e">
        <f>IF(AR$63,23.6,NA())</f>
        <v>#N/A</v>
      </c>
      <c r="AS76" s="82" t="e">
        <f>IF(AS$63,46.08,NA())</f>
        <v>#N/A</v>
      </c>
      <c r="AT76" s="82" t="e">
        <f>IF(AT$63,47.99,NA())</f>
        <v>#N/A</v>
      </c>
      <c r="AU76" s="82">
        <f>IF(AU$63,14.32,NA())</f>
        <v>14.32</v>
      </c>
      <c r="AV76" s="82">
        <f>IF(AV$63,14.47,NA())</f>
        <v>14.47</v>
      </c>
      <c r="AW76" s="82" t="e">
        <f>IF(AW$63,49.91,NA())</f>
        <v>#N/A</v>
      </c>
      <c r="AX76" s="82" t="e">
        <f>IF(AX$63,19.56,NA())</f>
        <v>#N/A</v>
      </c>
      <c r="AY76" s="82" t="e">
        <f>IF(AY$63,42.86,NA())</f>
        <v>#N/A</v>
      </c>
    </row>
    <row r="77" spans="1:51" x14ac:dyDescent="0.3">
      <c r="A77" s="81" t="s">
        <v>92</v>
      </c>
      <c r="B77" s="82">
        <f>IF(B$63,146.41,NA())</f>
        <v>146.41</v>
      </c>
      <c r="C77" s="82">
        <f>IF(C$63,36.13,NA())</f>
        <v>36.130000000000003</v>
      </c>
      <c r="D77" s="82">
        <f>IF(D$63,106.54,NA())</f>
        <v>106.54</v>
      </c>
      <c r="E77" s="82">
        <f>IF(E$63,30.73,NA())</f>
        <v>30.73</v>
      </c>
      <c r="F77" s="82">
        <f>IF(F$63,33.6,NA())</f>
        <v>33.6</v>
      </c>
      <c r="G77" s="82">
        <f>IF(G$63,18.53,NA())</f>
        <v>18.53</v>
      </c>
      <c r="H77" s="82" t="e">
        <f>IF(H$63,66.1,NA())</f>
        <v>#N/A</v>
      </c>
      <c r="I77" s="82" t="e">
        <f>IF(I$63,35.47,NA())</f>
        <v>#N/A</v>
      </c>
      <c r="J77" s="82" t="e">
        <f>NA()</f>
        <v>#N/A</v>
      </c>
      <c r="K77" s="82" t="e">
        <f>IF(K$63,31.41,NA())</f>
        <v>#N/A</v>
      </c>
      <c r="L77" s="82" t="e">
        <f>IF(L$63,41.43,NA())</f>
        <v>#N/A</v>
      </c>
      <c r="M77" s="82" t="e">
        <f>IF(M$63,78.03,NA())</f>
        <v>#N/A</v>
      </c>
      <c r="N77" s="82" t="e">
        <f>IF(N$63,30.97,NA())</f>
        <v>#N/A</v>
      </c>
      <c r="O77" s="82">
        <f>IF(O$63,29.01,NA())</f>
        <v>29.01</v>
      </c>
      <c r="P77" s="82" t="e">
        <f>IF(P$63,24.73,NA())</f>
        <v>#N/A</v>
      </c>
      <c r="Q77" s="82" t="e">
        <f>IF(Q$63,93.13,NA())</f>
        <v>#N/A</v>
      </c>
      <c r="R77" s="82">
        <f>IF(R$63,26.35,NA())</f>
        <v>26.35</v>
      </c>
      <c r="S77" s="82" t="e">
        <f>IF(S$63,67.49,NA())</f>
        <v>#N/A</v>
      </c>
      <c r="T77" s="82" t="e">
        <f>IF(T$63,53.59,NA())</f>
        <v>#N/A</v>
      </c>
      <c r="U77" s="82" t="e">
        <f>IF(U$63,104.65,NA())</f>
        <v>#N/A</v>
      </c>
      <c r="V77" s="82">
        <f>IF(V$63,24.57,NA())</f>
        <v>24.57</v>
      </c>
      <c r="W77" s="82" t="e">
        <f>IF(W$63,60.18,NA())</f>
        <v>#N/A</v>
      </c>
      <c r="X77" s="82" t="e">
        <f>IF(X$63,40.3,NA())</f>
        <v>#N/A</v>
      </c>
      <c r="Y77" s="82" t="e">
        <f>IF(Y$63,41.8,NA())</f>
        <v>#N/A</v>
      </c>
      <c r="Z77" s="82" t="e">
        <f>IF(Z$63,58.04,NA())</f>
        <v>#N/A</v>
      </c>
      <c r="AA77" s="82" t="e">
        <f>IF(AA$63,51.02,NA())</f>
        <v>#N/A</v>
      </c>
      <c r="AB77" s="82">
        <f>IF(AB$63,21.15,NA())</f>
        <v>21.15</v>
      </c>
      <c r="AC77" s="82" t="e">
        <f>IF(AC$63,60.82,NA())</f>
        <v>#N/A</v>
      </c>
      <c r="AD77" s="82" t="e">
        <f>IF(AD$63,43.33,NA())</f>
        <v>#N/A</v>
      </c>
      <c r="AE77" s="82" t="e">
        <f>IF(AE$63,60.38,NA())</f>
        <v>#N/A</v>
      </c>
      <c r="AF77" s="82" t="e">
        <f>IF(AF$63,36.52,NA())</f>
        <v>#N/A</v>
      </c>
      <c r="AG77" s="82" t="e">
        <f>IF(AG$63,38,NA())</f>
        <v>#N/A</v>
      </c>
      <c r="AH77" s="82" t="e">
        <f>IF(AH$63,28.3,NA())</f>
        <v>#N/A</v>
      </c>
      <c r="AI77" s="82">
        <f>IF(AI$63,30.89,NA())</f>
        <v>30.89</v>
      </c>
      <c r="AJ77" s="82" t="e">
        <f>IF(AJ$63,61.63,NA())</f>
        <v>#N/A</v>
      </c>
      <c r="AK77" s="82" t="e">
        <f>IF(AK$63,54.83,NA())</f>
        <v>#N/A</v>
      </c>
      <c r="AL77" s="82">
        <f>IF(AL$63,16.51,NA())</f>
        <v>16.510000000000002</v>
      </c>
      <c r="AM77" s="82" t="e">
        <f>IF(AM$63,28.93,NA())</f>
        <v>#N/A</v>
      </c>
      <c r="AN77" s="82" t="e">
        <f>IF(AN$63,66.63,NA())</f>
        <v>#N/A</v>
      </c>
      <c r="AO77" s="82" t="e">
        <f>IF(AO$63,38.24,NA())</f>
        <v>#N/A</v>
      </c>
      <c r="AP77" s="82" t="e">
        <f>IF(AP$63,34.25,NA())</f>
        <v>#N/A</v>
      </c>
      <c r="AQ77" s="82" t="e">
        <f>IF(AQ$63,30.95,NA())</f>
        <v>#N/A</v>
      </c>
      <c r="AR77" s="82" t="e">
        <f>IF(AR$63,24.73,NA())</f>
        <v>#N/A</v>
      </c>
      <c r="AS77" s="82" t="e">
        <f>IF(AS$63,43.87,NA())</f>
        <v>#N/A</v>
      </c>
      <c r="AT77" s="82" t="e">
        <f>IF(AT$63,49.75,NA())</f>
        <v>#N/A</v>
      </c>
      <c r="AU77" s="82">
        <f>IF(AU$63,17.19,NA())</f>
        <v>17.190000000000001</v>
      </c>
      <c r="AV77" s="82">
        <f>IF(AV$63,15.32,NA())</f>
        <v>15.32</v>
      </c>
      <c r="AW77" s="82" t="e">
        <f>IF(AW$63,50.91,NA())</f>
        <v>#N/A</v>
      </c>
      <c r="AX77" s="82" t="e">
        <f>IF(AX$63,19.56,NA())</f>
        <v>#N/A</v>
      </c>
      <c r="AY77" s="82" t="e">
        <f>IF(AY$63,43.47,NA())</f>
        <v>#N/A</v>
      </c>
    </row>
    <row r="78" spans="1:51" x14ac:dyDescent="0.3">
      <c r="A78" s="81" t="s">
        <v>93</v>
      </c>
      <c r="B78" s="82">
        <f>IF(B$63,150.46,NA())</f>
        <v>150.46</v>
      </c>
      <c r="C78" s="82">
        <f>IF(C$63,38.03,NA())</f>
        <v>38.03</v>
      </c>
      <c r="D78" s="82">
        <f>IF(D$63,104.76,NA())</f>
        <v>104.76</v>
      </c>
      <c r="E78" s="82">
        <f>IF(E$63,30.73,NA())</f>
        <v>30.73</v>
      </c>
      <c r="F78" s="82">
        <f>IF(F$63,37.92,NA())</f>
        <v>37.92</v>
      </c>
      <c r="G78" s="82">
        <f>IF(G$63,17.63,NA())</f>
        <v>17.63</v>
      </c>
      <c r="H78" s="82" t="e">
        <f>IF(H$63,69,NA())</f>
        <v>#N/A</v>
      </c>
      <c r="I78" s="82" t="e">
        <f>IF(I$63,37.2,NA())</f>
        <v>#N/A</v>
      </c>
      <c r="J78" s="82" t="e">
        <f>NA()</f>
        <v>#N/A</v>
      </c>
      <c r="K78" s="82" t="e">
        <f>IF(K$63,31.41,NA())</f>
        <v>#N/A</v>
      </c>
      <c r="L78" s="82" t="e">
        <f>IF(L$63,43.35,NA())</f>
        <v>#N/A</v>
      </c>
      <c r="M78" s="82" t="e">
        <f>IF(M$63,81.33,NA())</f>
        <v>#N/A</v>
      </c>
      <c r="N78" s="82" t="e">
        <f>IF(N$63,30.22,NA())</f>
        <v>#N/A</v>
      </c>
      <c r="O78" s="82">
        <f>IF(O$63,32.49,NA())</f>
        <v>32.49</v>
      </c>
      <c r="P78" s="82" t="e">
        <f>IF(P$63,26.49,NA())</f>
        <v>#N/A</v>
      </c>
      <c r="Q78" s="82" t="e">
        <f>IF(Q$63,95.95,NA())</f>
        <v>#N/A</v>
      </c>
      <c r="R78" s="82">
        <f>IF(R$63,27.09,NA())</f>
        <v>27.09</v>
      </c>
      <c r="S78" s="82" t="e">
        <f>IF(S$63,72.23,NA())</f>
        <v>#N/A</v>
      </c>
      <c r="T78" s="82" t="e">
        <f>IF(T$63,54.78,NA())</f>
        <v>#N/A</v>
      </c>
      <c r="U78" s="82" t="e">
        <f>IF(U$63,108.68,NA())</f>
        <v>#N/A</v>
      </c>
      <c r="V78" s="82">
        <f>IF(V$63,24.57,NA())</f>
        <v>24.57</v>
      </c>
      <c r="W78" s="82" t="e">
        <f>IF(W$63,63.06,NA())</f>
        <v>#N/A</v>
      </c>
      <c r="X78" s="82" t="e">
        <f>IF(X$63,43.55,NA())</f>
        <v>#N/A</v>
      </c>
      <c r="Y78" s="82" t="e">
        <f>IF(Y$63,42.98,NA())</f>
        <v>#N/A</v>
      </c>
      <c r="Z78" s="82" t="e">
        <f>IF(Z$63,57.68,NA())</f>
        <v>#N/A</v>
      </c>
      <c r="AA78" s="82" t="e">
        <f>IF(AA$63,54.42,NA())</f>
        <v>#N/A</v>
      </c>
      <c r="AB78" s="82">
        <f>IF(AB$63,22.09,NA())</f>
        <v>22.09</v>
      </c>
      <c r="AC78" s="82" t="e">
        <f>IF(AC$63,62.55,NA())</f>
        <v>#N/A</v>
      </c>
      <c r="AD78" s="82" t="e">
        <f>IF(AD$63,42.36,NA())</f>
        <v>#N/A</v>
      </c>
      <c r="AE78" s="82" t="e">
        <f>IF(AE$63,60.66,NA())</f>
        <v>#N/A</v>
      </c>
      <c r="AF78" s="82" t="e">
        <f>IF(AF$63,36.52,NA())</f>
        <v>#N/A</v>
      </c>
      <c r="AG78" s="82" t="e">
        <f>IF(AG$63,36.51,NA())</f>
        <v>#N/A</v>
      </c>
      <c r="AH78" s="82" t="e">
        <f>IF(AH$63,28.3,NA())</f>
        <v>#N/A</v>
      </c>
      <c r="AI78" s="82">
        <f>IF(AI$63,30.89,NA())</f>
        <v>30.89</v>
      </c>
      <c r="AJ78" s="82" t="e">
        <f>IF(AJ$63,66.77,NA())</f>
        <v>#N/A</v>
      </c>
      <c r="AK78" s="82" t="e">
        <f>IF(AK$63,55.26,NA())</f>
        <v>#N/A</v>
      </c>
      <c r="AL78" s="82">
        <f>IF(AL$63,17.17,NA())</f>
        <v>17.170000000000002</v>
      </c>
      <c r="AM78" s="82" t="e">
        <f>IF(AM$63,26.87,NA())</f>
        <v>#N/A</v>
      </c>
      <c r="AN78" s="82" t="e">
        <f>IF(AN$63,69.28,NA())</f>
        <v>#N/A</v>
      </c>
      <c r="AO78" s="82" t="e">
        <f>IF(AO$63,39.07,NA())</f>
        <v>#N/A</v>
      </c>
      <c r="AP78" s="82" t="e">
        <f>IF(AP$63,38.92,NA())</f>
        <v>#N/A</v>
      </c>
      <c r="AQ78" s="82" t="e">
        <f>IF(AQ$63,30.75,NA())</f>
        <v>#N/A</v>
      </c>
      <c r="AR78" s="82" t="e">
        <f>IF(AR$63,22.48,NA())</f>
        <v>#N/A</v>
      </c>
      <c r="AS78" s="82" t="e">
        <f>IF(AS$63,44.89,NA())</f>
        <v>#N/A</v>
      </c>
      <c r="AT78" s="82" t="e">
        <f>IF(AT$63,51.73,NA())</f>
        <v>#N/A</v>
      </c>
      <c r="AU78" s="82">
        <f>IF(AU$63,20.05,NA())</f>
        <v>20.05</v>
      </c>
      <c r="AV78" s="82">
        <f>IF(AV$63,17.45,NA())</f>
        <v>17.45</v>
      </c>
      <c r="AW78" s="82" t="e">
        <f>IF(AW$63,55.9,NA())</f>
        <v>#N/A</v>
      </c>
      <c r="AX78" s="82" t="e">
        <f>IF(AX$63,19.56,NA())</f>
        <v>#N/A</v>
      </c>
      <c r="AY78" s="82" t="e">
        <f>IF(AY$63,44.37,NA())</f>
        <v>#N/A</v>
      </c>
    </row>
    <row r="79" spans="1:51" x14ac:dyDescent="0.3">
      <c r="A79" s="81" t="s">
        <v>94</v>
      </c>
      <c r="B79" s="82">
        <f>IF(B$63,153.8,NA())</f>
        <v>153.80000000000001</v>
      </c>
      <c r="C79" s="82">
        <f>IF(C$63,39.93,NA())</f>
        <v>39.93</v>
      </c>
      <c r="D79" s="82">
        <f>IF(D$63,105.47,NA())</f>
        <v>105.47</v>
      </c>
      <c r="E79" s="82">
        <f>IF(E$63,29.7,NA())</f>
        <v>29.7</v>
      </c>
      <c r="F79" s="82">
        <f>IF(F$63,39.84,NA())</f>
        <v>39.840000000000003</v>
      </c>
      <c r="G79" s="82">
        <f>IF(G$63,17.45,NA())</f>
        <v>17.45</v>
      </c>
      <c r="H79" s="82" t="e">
        <f>IF(H$63,70.81,NA())</f>
        <v>#N/A</v>
      </c>
      <c r="I79" s="82" t="e">
        <f>IF(I$63,38.13,NA())</f>
        <v>#N/A</v>
      </c>
      <c r="J79" s="82" t="e">
        <f>NA()</f>
        <v>#N/A</v>
      </c>
      <c r="K79" s="82" t="e">
        <f>IF(K$63,31.79,NA())</f>
        <v>#N/A</v>
      </c>
      <c r="L79" s="82" t="e">
        <f>IF(L$63,43.48,NA())</f>
        <v>#N/A</v>
      </c>
      <c r="M79" s="82" t="e">
        <f>IF(M$63,83.54,NA())</f>
        <v>#N/A</v>
      </c>
      <c r="N79" s="82" t="e">
        <f>IF(N$63,30.22,NA())</f>
        <v>#N/A</v>
      </c>
      <c r="O79" s="82">
        <f>IF(O$63,31.72,NA())</f>
        <v>31.72</v>
      </c>
      <c r="P79" s="82" t="e">
        <f>IF(P$63,27.82,NA())</f>
        <v>#N/A</v>
      </c>
      <c r="Q79" s="82" t="e">
        <f>IF(Q$63,93.13,NA())</f>
        <v>#N/A</v>
      </c>
      <c r="R79" s="82">
        <f>IF(R$63,28.05,NA())</f>
        <v>28.05</v>
      </c>
      <c r="S79" s="82" t="e">
        <f>IF(S$63,77.16,NA())</f>
        <v>#N/A</v>
      </c>
      <c r="T79" s="82" t="e">
        <f>IF(T$63,55.68,NA())</f>
        <v>#N/A</v>
      </c>
      <c r="U79" s="82" t="e">
        <f>IF(U$63,111.55,NA())</f>
        <v>#N/A</v>
      </c>
      <c r="V79" s="82">
        <f>IF(V$63,26.32,NA())</f>
        <v>26.32</v>
      </c>
      <c r="W79" s="82" t="e">
        <f>IF(W$63,63.19,NA())</f>
        <v>#N/A</v>
      </c>
      <c r="X79" s="82" t="e">
        <f>IF(X$63,44.2,NA())</f>
        <v>#N/A</v>
      </c>
      <c r="Y79" s="82" t="e">
        <f>IF(Y$63,43.56,NA())</f>
        <v>#N/A</v>
      </c>
      <c r="Z79" s="82" t="e">
        <f>IF(Z$63,57.68,NA())</f>
        <v>#N/A</v>
      </c>
      <c r="AA79" s="82" t="e">
        <f>IF(AA$63,54.42,NA())</f>
        <v>#N/A</v>
      </c>
      <c r="AB79" s="82">
        <f>IF(AB$63,22.13,NA())</f>
        <v>22.13</v>
      </c>
      <c r="AC79" s="82" t="e">
        <f>IF(AC$63,62.65,NA())</f>
        <v>#N/A</v>
      </c>
      <c r="AD79" s="82" t="e">
        <f>IF(AD$63,45.25,NA())</f>
        <v>#N/A</v>
      </c>
      <c r="AE79" s="82" t="e">
        <f>IF(AE$63,59.95,NA())</f>
        <v>#N/A</v>
      </c>
      <c r="AF79" s="82" t="e">
        <f>IF(AF$63,38.35,NA())</f>
        <v>#N/A</v>
      </c>
      <c r="AG79" s="82" t="e">
        <f>IF(AG$63,35.76,NA())</f>
        <v>#N/A</v>
      </c>
      <c r="AH79" s="82" t="e">
        <f>IF(AH$63,30.36,NA())</f>
        <v>#N/A</v>
      </c>
      <c r="AI79" s="82">
        <f>IF(AI$63,30.14,NA())</f>
        <v>30.14</v>
      </c>
      <c r="AJ79" s="82" t="e">
        <f>IF(AJ$63,71.47,NA())</f>
        <v>#N/A</v>
      </c>
      <c r="AK79" s="82" t="e">
        <f>IF(AK$63,54.18,NA())</f>
        <v>#N/A</v>
      </c>
      <c r="AL79" s="82">
        <f>IF(AL$63,18.16,NA())</f>
        <v>18.16</v>
      </c>
      <c r="AM79" s="82" t="e">
        <f>IF(AM$63,28.93,NA())</f>
        <v>#N/A</v>
      </c>
      <c r="AN79" s="82" t="e">
        <f>IF(AN$63,69.66,NA())</f>
        <v>#N/A</v>
      </c>
      <c r="AO79" s="82" t="e">
        <f>IF(AO$63,39.35,NA())</f>
        <v>#N/A</v>
      </c>
      <c r="AP79" s="82" t="e">
        <f>IF(AP$63,38.4,NA())</f>
        <v>#N/A</v>
      </c>
      <c r="AQ79" s="82" t="e">
        <f>IF(AQ$63,31.15,NA())</f>
        <v>#N/A</v>
      </c>
      <c r="AR79" s="82" t="e">
        <f>IF(AR$63,26.98,NA())</f>
        <v>#N/A</v>
      </c>
      <c r="AS79" s="82" t="e">
        <f>IF(AS$63,45.91,NA())</f>
        <v>#N/A</v>
      </c>
      <c r="AT79" s="82" t="e">
        <f>IF(AT$63,53.49,NA())</f>
        <v>#N/A</v>
      </c>
      <c r="AU79" s="82">
        <f>IF(AU$63,21.01,NA())</f>
        <v>21.01</v>
      </c>
      <c r="AV79" s="82">
        <f>IF(AV$63,17.45,NA())</f>
        <v>17.45</v>
      </c>
      <c r="AW79" s="82" t="e">
        <f>IF(AW$63,57.89,NA())</f>
        <v>#N/A</v>
      </c>
      <c r="AX79" s="82" t="e">
        <f>IF(AX$63,22.96,NA())</f>
        <v>#N/A</v>
      </c>
      <c r="AY79" s="82" t="e">
        <f>IF(AY$63,45.88,NA())</f>
        <v>#N/A</v>
      </c>
    </row>
    <row r="80" spans="1:51" x14ac:dyDescent="0.3">
      <c r="A80" s="81" t="s">
        <v>95</v>
      </c>
      <c r="B80" s="82">
        <f>IF(B$63,152.74,NA())</f>
        <v>152.74</v>
      </c>
      <c r="C80" s="82">
        <f>IF(C$63,38.03,NA())</f>
        <v>38.03</v>
      </c>
      <c r="D80" s="82">
        <f>IF(D$63,102.97,NA())</f>
        <v>102.97</v>
      </c>
      <c r="E80" s="82">
        <f>IF(E$63,33.49,NA())</f>
        <v>33.49</v>
      </c>
      <c r="F80" s="82">
        <f>IF(F$63,43.2,NA())</f>
        <v>43.2</v>
      </c>
      <c r="G80" s="82">
        <f>IF(G$63,18.71,NA())</f>
        <v>18.71</v>
      </c>
      <c r="H80" s="82" t="e">
        <f>IF(H$63,71.3,NA())</f>
        <v>#N/A</v>
      </c>
      <c r="I80" s="82" t="e">
        <f>IF(I$63,39.99,NA())</f>
        <v>#N/A</v>
      </c>
      <c r="J80" s="82" t="e">
        <f>NA()</f>
        <v>#N/A</v>
      </c>
      <c r="K80" s="82" t="e">
        <f>IF(K$63,32.42,NA())</f>
        <v>#N/A</v>
      </c>
      <c r="L80" s="82" t="e">
        <f>IF(L$63,43.76,NA())</f>
        <v>#N/A</v>
      </c>
      <c r="M80" s="82" t="e">
        <f>IF(M$63,85.47,NA())</f>
        <v>#N/A</v>
      </c>
      <c r="N80" s="82" t="e">
        <f>IF(N$63,32.48,NA())</f>
        <v>#N/A</v>
      </c>
      <c r="O80" s="82">
        <f>IF(O$63,30.95,NA())</f>
        <v>30.95</v>
      </c>
      <c r="P80" s="82" t="e">
        <f>IF(P$63,27.38,NA())</f>
        <v>#N/A</v>
      </c>
      <c r="Q80" s="82" t="e">
        <f>IF(Q$63,92.19,NA())</f>
        <v>#N/A</v>
      </c>
      <c r="R80" s="82">
        <f>IF(R$63,28.58,NA())</f>
        <v>28.58</v>
      </c>
      <c r="S80" s="82" t="e">
        <f>IF(S$63,76.76,NA())</f>
        <v>#N/A</v>
      </c>
      <c r="T80" s="82" t="e">
        <f>IF(T$63,57.91,NA())</f>
        <v>#N/A</v>
      </c>
      <c r="U80" s="82" t="e">
        <f>IF(U$63,113.28,NA())</f>
        <v>#N/A</v>
      </c>
      <c r="V80" s="82">
        <f>IF(V$63,27.2,NA())</f>
        <v>27.2</v>
      </c>
      <c r="W80" s="82" t="e">
        <f>IF(W$63,62.1,NA())</f>
        <v>#N/A</v>
      </c>
      <c r="X80" s="82" t="e">
        <f>IF(X$63,45.14,NA())</f>
        <v>#N/A</v>
      </c>
      <c r="Y80" s="82" t="e">
        <f>IF(Y$63,45.92,NA())</f>
        <v>#N/A</v>
      </c>
      <c r="Z80" s="82" t="e">
        <f>IF(Z$63,58.76,NA())</f>
        <v>#N/A</v>
      </c>
      <c r="AA80" s="82" t="e">
        <f>IF(AA$63,55.78,NA())</f>
        <v>#N/A</v>
      </c>
      <c r="AB80" s="82">
        <f>IF(AB$63,22.43,NA())</f>
        <v>22.43</v>
      </c>
      <c r="AC80" s="82" t="e">
        <f>IF(AC$63,64.69,NA())</f>
        <v>#N/A</v>
      </c>
      <c r="AD80" s="82" t="e">
        <f>IF(AD$63,46.21,NA())</f>
        <v>#N/A</v>
      </c>
      <c r="AE80" s="82" t="e">
        <f>IF(AE$63,61.52,NA())</f>
        <v>#N/A</v>
      </c>
      <c r="AF80" s="82" t="e">
        <f>IF(AF$63,38.35,NA())</f>
        <v>#N/A</v>
      </c>
      <c r="AG80" s="82" t="e">
        <f>IF(AG$63,38,NA())</f>
        <v>#N/A</v>
      </c>
      <c r="AH80" s="82" t="e">
        <f>IF(AH$63,33.45,NA())</f>
        <v>#N/A</v>
      </c>
      <c r="AI80" s="82">
        <f>IF(AI$63,27.87,NA())</f>
        <v>27.87</v>
      </c>
      <c r="AJ80" s="82" t="e">
        <f>IF(AJ$63,73.61,NA())</f>
        <v>#N/A</v>
      </c>
      <c r="AK80" s="82" t="e">
        <f>IF(AK$63,55.04,NA())</f>
        <v>#N/A</v>
      </c>
      <c r="AL80" s="82">
        <f>IF(AL$63,20.14,NA())</f>
        <v>20.14</v>
      </c>
      <c r="AM80" s="82" t="e">
        <f>IF(AM$63,26.87,NA())</f>
        <v>#N/A</v>
      </c>
      <c r="AN80" s="82" t="e">
        <f>IF(AN$63,70.54,NA())</f>
        <v>#N/A</v>
      </c>
      <c r="AO80" s="82" t="e">
        <f>IF(AO$63,40.83,NA())</f>
        <v>#N/A</v>
      </c>
      <c r="AP80" s="82" t="e">
        <f>IF(AP$63,41,NA())</f>
        <v>#N/A</v>
      </c>
      <c r="AQ80" s="82" t="e">
        <f>IF(AQ$63,32.53,NA())</f>
        <v>#N/A</v>
      </c>
      <c r="AR80" s="82" t="e">
        <f>IF(AR$63,30.91,NA())</f>
        <v>#N/A</v>
      </c>
      <c r="AS80" s="82" t="e">
        <f>IF(AS$63,47.1,NA())</f>
        <v>#N/A</v>
      </c>
      <c r="AT80" s="82" t="e">
        <f>IF(AT$63,56.34,NA())</f>
        <v>#N/A</v>
      </c>
      <c r="AU80" s="82">
        <f>IF(AU$63,24.83,NA())</f>
        <v>24.83</v>
      </c>
      <c r="AV80" s="82">
        <f>IF(AV$63,20,NA())</f>
        <v>20</v>
      </c>
      <c r="AW80" s="82" t="e">
        <f>IF(AW$63,61.89,NA())</f>
        <v>#N/A</v>
      </c>
      <c r="AX80" s="82" t="e">
        <f>IF(AX$63,26.36,NA())</f>
        <v>#N/A</v>
      </c>
      <c r="AY80" s="82" t="e">
        <f>IF(AY$63,45.28,NA())</f>
        <v>#N/A</v>
      </c>
    </row>
    <row r="81" spans="1:51" x14ac:dyDescent="0.3">
      <c r="A81" s="81" t="s">
        <v>96</v>
      </c>
      <c r="B81" s="82">
        <f>IF(B$63,156.26,NA())</f>
        <v>156.26</v>
      </c>
      <c r="C81" s="82">
        <f>IF(C$63,42.47,NA())</f>
        <v>42.47</v>
      </c>
      <c r="D81" s="82">
        <f>IF(D$63,101.9,NA())</f>
        <v>101.9</v>
      </c>
      <c r="E81" s="82">
        <f>IF(E$63,35.22,NA())</f>
        <v>35.22</v>
      </c>
      <c r="F81" s="82">
        <f>IF(F$63,47.52,NA())</f>
        <v>47.52</v>
      </c>
      <c r="G81" s="82">
        <f>IF(G$63,19.79,NA())</f>
        <v>19.79</v>
      </c>
      <c r="H81" s="82" t="e">
        <f>IF(H$63,71.3,NA())</f>
        <v>#N/A</v>
      </c>
      <c r="I81" s="82" t="e">
        <f>IF(I$63,40.52,NA())</f>
        <v>#N/A</v>
      </c>
      <c r="J81" s="82" t="e">
        <f>NA()</f>
        <v>#N/A</v>
      </c>
      <c r="K81" s="82" t="e">
        <f>IF(K$63,34.43,NA())</f>
        <v>#N/A</v>
      </c>
      <c r="L81" s="82" t="e">
        <f>IF(L$63,43.21,NA())</f>
        <v>#N/A</v>
      </c>
      <c r="M81" s="82" t="e">
        <f>IF(M$63,88.5,NA())</f>
        <v>#N/A</v>
      </c>
      <c r="N81" s="82" t="e">
        <f>IF(N$63,33.99,NA())</f>
        <v>#N/A</v>
      </c>
      <c r="O81" s="82">
        <f>IF(O$63,32.11,NA())</f>
        <v>32.11</v>
      </c>
      <c r="P81" s="82" t="e">
        <f>IF(P$63,26.05,NA())</f>
        <v>#N/A</v>
      </c>
      <c r="Q81" s="82" t="e">
        <f>IF(Q$63,91.25,NA())</f>
        <v>#N/A</v>
      </c>
      <c r="R81" s="82">
        <f>IF(R$63,29.54,NA())</f>
        <v>29.54</v>
      </c>
      <c r="S81" s="82" t="e">
        <f>IF(S$63,81.11,NA())</f>
        <v>#N/A</v>
      </c>
      <c r="T81" s="82" t="e">
        <f>IF(T$63,61.48,NA())</f>
        <v>#N/A</v>
      </c>
      <c r="U81" s="82" t="e">
        <f>IF(U$63,119.6,NA())</f>
        <v>#N/A</v>
      </c>
      <c r="V81" s="82">
        <f>IF(V$63,26.32,NA())</f>
        <v>26.32</v>
      </c>
      <c r="W81" s="82" t="e">
        <f>IF(W$63,63.6,NA())</f>
        <v>#N/A</v>
      </c>
      <c r="X81" s="82" t="e">
        <f>IF(X$63,47.59,NA())</f>
        <v>#N/A</v>
      </c>
      <c r="Y81" s="82" t="e">
        <f>IF(Y$63,47.1,NA())</f>
        <v>#N/A</v>
      </c>
      <c r="Z81" s="82" t="e">
        <f>IF(Z$63,59.83,NA())</f>
        <v>#N/A</v>
      </c>
      <c r="AA81" s="82" t="e">
        <f>IF(AA$63,55.1,NA())</f>
        <v>#N/A</v>
      </c>
      <c r="AB81" s="82">
        <f>IF(AB$63,22.6,NA())</f>
        <v>22.6</v>
      </c>
      <c r="AC81" s="82" t="e">
        <f>IF(AC$63,66.42,NA())</f>
        <v>#N/A</v>
      </c>
      <c r="AD81" s="82" t="e">
        <f>IF(AD$63,43.33,NA())</f>
        <v>#N/A</v>
      </c>
      <c r="AE81" s="82" t="e">
        <f>IF(AE$63,58.38,NA())</f>
        <v>#N/A</v>
      </c>
      <c r="AF81" s="82" t="e">
        <f>IF(AF$63,40.18,NA())</f>
        <v>#N/A</v>
      </c>
      <c r="AG81" s="82" t="e">
        <f>IF(AG$63,39.49,NA())</f>
        <v>#N/A</v>
      </c>
      <c r="AH81" s="82" t="e">
        <f>IF(AH$63,33.96,NA())</f>
        <v>#N/A</v>
      </c>
      <c r="AI81" s="82">
        <f>IF(AI$63,30.14,NA())</f>
        <v>30.14</v>
      </c>
      <c r="AJ81" s="82" t="e">
        <f>IF(AJ$63,74.04,NA())</f>
        <v>#N/A</v>
      </c>
      <c r="AK81" s="82" t="e">
        <f>IF(AK$63,56.88,NA())</f>
        <v>#N/A</v>
      </c>
      <c r="AL81" s="82">
        <f>IF(AL$63,20.14,NA())</f>
        <v>20.14</v>
      </c>
      <c r="AM81" s="82" t="e">
        <f>IF(AM$63,25.49,NA())</f>
        <v>#N/A</v>
      </c>
      <c r="AN81" s="82" t="e">
        <f>IF(AN$63,69.78,NA())</f>
        <v>#N/A</v>
      </c>
      <c r="AO81" s="82" t="e">
        <f>IF(AO$63,41.2,NA())</f>
        <v>#N/A</v>
      </c>
      <c r="AP81" s="82" t="e">
        <f>IF(AP$63,43.07,NA())</f>
        <v>#N/A</v>
      </c>
      <c r="AQ81" s="82" t="e">
        <f>IF(AQ$63,32.33,NA())</f>
        <v>#N/A</v>
      </c>
      <c r="AR81" s="82" t="e">
        <f>IF(AR$63,31.47,NA())</f>
        <v>#N/A</v>
      </c>
      <c r="AS81" s="82" t="e">
        <f>IF(AS$63,47.1,NA())</f>
        <v>#N/A</v>
      </c>
      <c r="AT81" s="82" t="e">
        <f>IF(AT$63,58.98,NA())</f>
        <v>#N/A</v>
      </c>
      <c r="AU81" s="82">
        <f>IF(AU$63,26.74,NA())</f>
        <v>26.74</v>
      </c>
      <c r="AV81" s="82">
        <f>IF(AV$63,20,NA())</f>
        <v>20</v>
      </c>
      <c r="AW81" s="82" t="e">
        <f>IF(AW$63,62.88,NA())</f>
        <v>#N/A</v>
      </c>
      <c r="AX81" s="82" t="e">
        <f>IF(AX$63,27.21,NA())</f>
        <v>#N/A</v>
      </c>
      <c r="AY81" s="82" t="e">
        <f>IF(AY$63,50.71,NA())</f>
        <v>#N/A</v>
      </c>
    </row>
    <row r="82" spans="1:51" x14ac:dyDescent="0.3">
      <c r="A82" s="81" t="s">
        <v>97</v>
      </c>
      <c r="B82" s="82">
        <f>IF(B$63,158.55,NA())</f>
        <v>158.55000000000001</v>
      </c>
      <c r="C82" s="82">
        <f>IF(C$63,42.47,NA())</f>
        <v>42.47</v>
      </c>
      <c r="D82" s="82">
        <f>IF(D$63,102.97,NA())</f>
        <v>102.97</v>
      </c>
      <c r="E82" s="82">
        <f>IF(E$63,35.22,NA())</f>
        <v>35.22</v>
      </c>
      <c r="F82" s="82">
        <f>IF(F$63,49.92,NA())</f>
        <v>49.92</v>
      </c>
      <c r="G82" s="82">
        <f>IF(G$63,19.61,NA())</f>
        <v>19.61</v>
      </c>
      <c r="H82" s="82" t="e">
        <f>IF(H$63,68.64,NA())</f>
        <v>#N/A</v>
      </c>
      <c r="I82" s="82" t="e">
        <f>IF(I$63,40.52,NA())</f>
        <v>#N/A</v>
      </c>
      <c r="J82" s="82" t="e">
        <f>NA()</f>
        <v>#N/A</v>
      </c>
      <c r="K82" s="82" t="e">
        <f>IF(K$63,36.31,NA())</f>
        <v>#N/A</v>
      </c>
      <c r="L82" s="82" t="e">
        <f>IF(L$63,44.03,NA())</f>
        <v>#N/A</v>
      </c>
      <c r="M82" s="82" t="e">
        <f>IF(M$63,88.78,NA())</f>
        <v>#N/A</v>
      </c>
      <c r="N82" s="82" t="e">
        <f>IF(N$63,33.24,NA())</f>
        <v>#N/A</v>
      </c>
      <c r="O82" s="82">
        <f>IF(O$63,30.56,NA())</f>
        <v>30.56</v>
      </c>
      <c r="P82" s="82" t="e">
        <f>IF(P$63,23.4,NA())</f>
        <v>#N/A</v>
      </c>
      <c r="Q82" s="82" t="e">
        <f>IF(Q$63,85.6,NA())</f>
        <v>#N/A</v>
      </c>
      <c r="R82" s="82">
        <f>IF(R$63,30.07,NA())</f>
        <v>30.07</v>
      </c>
      <c r="S82" s="82" t="e">
        <f>IF(S$63,80.51,NA())</f>
        <v>#N/A</v>
      </c>
      <c r="T82" s="82" t="e">
        <f>IF(T$63,64.01,NA())</f>
        <v>#N/A</v>
      </c>
      <c r="U82" s="82" t="e">
        <f>IF(U$63,120.75,NA())</f>
        <v>#N/A</v>
      </c>
      <c r="V82" s="82">
        <f>IF(V$63,28.07,NA())</f>
        <v>28.07</v>
      </c>
      <c r="W82" s="82" t="e">
        <f>IF(W$63,66.07,NA())</f>
        <v>#N/A</v>
      </c>
      <c r="X82" s="82" t="e">
        <f>IF(X$63,48.1,NA())</f>
        <v>#N/A</v>
      </c>
      <c r="Y82" s="82" t="e">
        <f>IF(Y$63,48.27,NA())</f>
        <v>#N/A</v>
      </c>
      <c r="Z82" s="82" t="e">
        <f>IF(Z$63,59.12,NA())</f>
        <v>#N/A</v>
      </c>
      <c r="AA82" s="82" t="e">
        <f>IF(AA$63,54.42,NA())</f>
        <v>#N/A</v>
      </c>
      <c r="AB82" s="82">
        <f>IF(AB$63,23.54,NA())</f>
        <v>23.54</v>
      </c>
      <c r="AC82" s="82" t="e">
        <f>IF(AC$63,66.22,NA())</f>
        <v>#N/A</v>
      </c>
      <c r="AD82" s="82" t="e">
        <f>IF(AD$63,40.44,NA())</f>
        <v>#N/A</v>
      </c>
      <c r="AE82" s="82" t="e">
        <f>IF(AE$63,57.67,NA())</f>
        <v>#N/A</v>
      </c>
      <c r="AF82" s="82" t="e">
        <f>IF(AF$63,42.92,NA())</f>
        <v>#N/A</v>
      </c>
      <c r="AG82" s="82" t="e">
        <f>IF(AG$63,36.51,NA())</f>
        <v>#N/A</v>
      </c>
      <c r="AH82" s="82" t="e">
        <f>IF(AH$63,32.93,NA())</f>
        <v>#N/A</v>
      </c>
      <c r="AI82" s="82">
        <f>IF(AI$63,28.63,NA())</f>
        <v>28.63</v>
      </c>
      <c r="AJ82" s="82" t="e">
        <f>IF(AJ$63,72.33,NA())</f>
        <v>#N/A</v>
      </c>
      <c r="AK82" s="82" t="e">
        <f>IF(AK$63,57.42,NA())</f>
        <v>#N/A</v>
      </c>
      <c r="AL82" s="82">
        <f>IF(AL$63,20.8,NA())</f>
        <v>20.8</v>
      </c>
      <c r="AM82" s="82" t="e">
        <f>IF(AM$63,25.49,NA())</f>
        <v>#N/A</v>
      </c>
      <c r="AN82" s="82" t="e">
        <f>IF(AN$63,67.26,NA())</f>
        <v>#N/A</v>
      </c>
      <c r="AO82" s="82" t="e">
        <f>IF(AO$63,43.7,NA())</f>
        <v>#N/A</v>
      </c>
      <c r="AP82" s="82" t="e">
        <f>IF(AP$63,40.48,NA())</f>
        <v>#N/A</v>
      </c>
      <c r="AQ82" s="82" t="e">
        <f>IF(AQ$63,31.34,NA())</f>
        <v>#N/A</v>
      </c>
      <c r="AR82" s="82" t="e">
        <f>IF(AR$63,30.91,NA())</f>
        <v>#N/A</v>
      </c>
      <c r="AS82" s="82" t="e">
        <f>IF(AS$63,49.48,NA())</f>
        <v>#N/A</v>
      </c>
      <c r="AT82" s="82" t="e">
        <f>IF(AT$63,58.87,NA())</f>
        <v>#N/A</v>
      </c>
      <c r="AU82" s="82">
        <f>IF(AU$63,23.87,NA())</f>
        <v>23.87</v>
      </c>
      <c r="AV82" s="82">
        <f>IF(AV$63,19.15,NA())</f>
        <v>19.149999999999999</v>
      </c>
      <c r="AW82" s="82" t="e">
        <f>IF(AW$63,64.88,NA())</f>
        <v>#N/A</v>
      </c>
      <c r="AX82" s="82" t="e">
        <f>IF(AX$63,29.76,NA())</f>
        <v>#N/A</v>
      </c>
      <c r="AY82" s="82" t="e">
        <f>IF(AY$63,49.51,NA())</f>
        <v>#N/A</v>
      </c>
    </row>
    <row r="83" spans="1:51" x14ac:dyDescent="0.3">
      <c r="A83" s="81" t="s">
        <v>98</v>
      </c>
      <c r="B83" s="82">
        <f>IF(B$63,163.3,NA())</f>
        <v>163.30000000000001</v>
      </c>
      <c r="C83" s="82">
        <f>IF(C$63,41.2,NA())</f>
        <v>41.2</v>
      </c>
      <c r="D83" s="82">
        <f>IF(D$63,104.76,NA())</f>
        <v>104.76</v>
      </c>
      <c r="E83" s="82">
        <f>IF(E$63,36.6,NA())</f>
        <v>36.6</v>
      </c>
      <c r="F83" s="82">
        <f>IF(F$63,50.88,NA())</f>
        <v>50.88</v>
      </c>
      <c r="G83" s="82">
        <f>IF(G$63,19.97,NA())</f>
        <v>19.97</v>
      </c>
      <c r="H83" s="82" t="e">
        <f>IF(H$63,66.46,NA())</f>
        <v>#N/A</v>
      </c>
      <c r="I83" s="82" t="e">
        <f>IF(I$63,40.52,NA())</f>
        <v>#N/A</v>
      </c>
      <c r="J83" s="82" t="e">
        <f>NA()</f>
        <v>#N/A</v>
      </c>
      <c r="K83" s="82" t="e">
        <f>IF(K$63,38.57,NA())</f>
        <v>#N/A</v>
      </c>
      <c r="L83" s="82" t="e">
        <f>IF(L$63,46.78,NA())</f>
        <v>#N/A</v>
      </c>
      <c r="M83" s="82" t="e">
        <f>IF(M$63,94.02,NA())</f>
        <v>#N/A</v>
      </c>
      <c r="N83" s="82" t="e">
        <f>IF(N$63,34.75,NA())</f>
        <v>#N/A</v>
      </c>
      <c r="O83" s="82">
        <f>IF(O$63,30.17,NA())</f>
        <v>30.17</v>
      </c>
      <c r="P83" s="82" t="e">
        <f>IF(P$63,24.73,NA())</f>
        <v>#N/A</v>
      </c>
      <c r="Q83" s="82" t="e">
        <f>IF(Q$63,86.54,NA())</f>
        <v>#N/A</v>
      </c>
      <c r="R83" s="82">
        <f>IF(R$63,31.77,NA())</f>
        <v>31.77</v>
      </c>
      <c r="S83" s="82" t="e">
        <f>IF(S$63,81.89,NA())</f>
        <v>#N/A</v>
      </c>
      <c r="T83" s="82" t="e">
        <f>IF(T$63,65.2,NA())</f>
        <v>#N/A</v>
      </c>
      <c r="U83" s="82" t="e">
        <f>IF(U$63,119.03,NA())</f>
        <v>#N/A</v>
      </c>
      <c r="V83" s="82">
        <f>IF(V$63,25.44,NA())</f>
        <v>25.44</v>
      </c>
      <c r="W83" s="82" t="e">
        <f>IF(W$63,65.8,NA())</f>
        <v>#N/A</v>
      </c>
      <c r="X83" s="82" t="e">
        <f>IF(X$63,50.7,NA())</f>
        <v>#N/A</v>
      </c>
      <c r="Y83" s="82" t="e">
        <f>IF(Y$63,49.45,NA())</f>
        <v>#N/A</v>
      </c>
      <c r="Z83" s="82" t="e">
        <f>IF(Z$63,58.76,NA())</f>
        <v>#N/A</v>
      </c>
      <c r="AA83" s="82" t="e">
        <f>IF(AA$63,52.38,NA())</f>
        <v>#N/A</v>
      </c>
      <c r="AB83" s="82">
        <f>IF(AB$63,24.48,NA())</f>
        <v>24.48</v>
      </c>
      <c r="AC83" s="82" t="e">
        <f>IF(AC$63,66.93,NA())</f>
        <v>#N/A</v>
      </c>
      <c r="AD83" s="82" t="e">
        <f>IF(AD$63,41.4,NA())</f>
        <v>#N/A</v>
      </c>
      <c r="AE83" s="82" t="e">
        <f>IF(AE$63,58.1,NA())</f>
        <v>#N/A</v>
      </c>
      <c r="AF83" s="82" t="e">
        <f>IF(AF$63,44.74,NA())</f>
        <v>#N/A</v>
      </c>
      <c r="AG83" s="82" t="e">
        <f>IF(AG$63,34.27,NA())</f>
        <v>#N/A</v>
      </c>
      <c r="AH83" s="82" t="e">
        <f>IF(AH$63,32.42,NA())</f>
        <v>#N/A</v>
      </c>
      <c r="AI83" s="82">
        <f>IF(AI$63,32.4,NA())</f>
        <v>32.4</v>
      </c>
      <c r="AJ83" s="82" t="e">
        <f>IF(AJ$63,73.61,NA())</f>
        <v>#N/A</v>
      </c>
      <c r="AK83" s="82" t="e">
        <f>IF(AK$63,56.77,NA())</f>
        <v>#N/A</v>
      </c>
      <c r="AL83" s="82">
        <f>IF(AL$63,21.13,NA())</f>
        <v>21.13</v>
      </c>
      <c r="AM83" s="82" t="e">
        <f>IF(AM$63,24.11,NA())</f>
        <v>#N/A</v>
      </c>
      <c r="AN83" s="82" t="e">
        <f>IF(AN$63,70.29,NA())</f>
        <v>#N/A</v>
      </c>
      <c r="AO83" s="82" t="e">
        <f>IF(AO$63,43.79,NA())</f>
        <v>#N/A</v>
      </c>
      <c r="AP83" s="82" t="e">
        <f>IF(AP$63,39.44,NA())</f>
        <v>#N/A</v>
      </c>
      <c r="AQ83" s="82" t="e">
        <f>IF(AQ$63,32.33,NA())</f>
        <v>#N/A</v>
      </c>
      <c r="AR83" s="82" t="e">
        <f>IF(AR$63,29.22,NA())</f>
        <v>#N/A</v>
      </c>
      <c r="AS83" s="82" t="e">
        <f>IF(AS$63,49.82,NA())</f>
        <v>#N/A</v>
      </c>
      <c r="AT83" s="82" t="e">
        <f>IF(AT$63,59.42,NA())</f>
        <v>#N/A</v>
      </c>
      <c r="AU83" s="82">
        <f>IF(AU$63,21.96,NA())</f>
        <v>21.96</v>
      </c>
      <c r="AV83" s="82">
        <f>IF(AV$63,19.58,NA())</f>
        <v>19.579999999999998</v>
      </c>
      <c r="AW83" s="82" t="e">
        <f>IF(AW$63,65.88,NA())</f>
        <v>#N/A</v>
      </c>
      <c r="AX83" s="82" t="e">
        <f>IF(AX$63,28.06,NA())</f>
        <v>#N/A</v>
      </c>
      <c r="AY83" s="82" t="e">
        <f>IF(AY$63,51.92,NA())</f>
        <v>#N/A</v>
      </c>
    </row>
    <row r="84" spans="1:51" x14ac:dyDescent="0.3">
      <c r="A84" s="81" t="s">
        <v>99</v>
      </c>
      <c r="B84" s="82">
        <f>IF(B$63,165.77,NA())</f>
        <v>165.77</v>
      </c>
      <c r="C84" s="82">
        <f>IF(C$63,43.1,NA())</f>
        <v>43.1</v>
      </c>
      <c r="D84" s="82">
        <f>IF(D$63,104.04,NA())</f>
        <v>104.04</v>
      </c>
      <c r="E84" s="82">
        <f>IF(E$63,37.98,NA())</f>
        <v>37.979999999999997</v>
      </c>
      <c r="F84" s="82">
        <f>IF(F$63,48.96,NA())</f>
        <v>48.96</v>
      </c>
      <c r="G84" s="82">
        <f>IF(G$63,23.38,NA())</f>
        <v>23.38</v>
      </c>
      <c r="H84" s="82" t="e">
        <f>IF(H$63,63.8,NA())</f>
        <v>#N/A</v>
      </c>
      <c r="I84" s="82" t="e">
        <f>IF(I$63,41.98,NA())</f>
        <v>#N/A</v>
      </c>
      <c r="J84" s="82" t="e">
        <f>NA()</f>
        <v>#N/A</v>
      </c>
      <c r="K84" s="82" t="e">
        <f>IF(K$63,39.7,NA())</f>
        <v>#N/A</v>
      </c>
      <c r="L84" s="82" t="e">
        <f>IF(L$63,46.36,NA())</f>
        <v>#N/A</v>
      </c>
      <c r="M84" s="82" t="e">
        <f>IF(M$63,97.33,NA())</f>
        <v>#N/A</v>
      </c>
      <c r="N84" s="82" t="e">
        <f>IF(N$63,36.26,NA())</f>
        <v>#N/A</v>
      </c>
      <c r="O84" s="82">
        <f>IF(O$63,30.95,NA())</f>
        <v>30.95</v>
      </c>
      <c r="P84" s="82" t="e">
        <f>IF(P$63,23.4,NA())</f>
        <v>#N/A</v>
      </c>
      <c r="Q84" s="82" t="e">
        <f>IF(Q$63,90.31,NA())</f>
        <v>#N/A</v>
      </c>
      <c r="R84" s="82">
        <f>IF(R$63,33.47,NA())</f>
        <v>33.47</v>
      </c>
      <c r="S84" s="82" t="e">
        <f>IF(S$63,82.29,NA())</f>
        <v>#N/A</v>
      </c>
      <c r="T84" s="82" t="e">
        <f>IF(T$63,67.73,NA())</f>
        <v>#N/A</v>
      </c>
      <c r="U84" s="82" t="e">
        <f>IF(U$63,117.88,NA())</f>
        <v>#N/A</v>
      </c>
      <c r="V84" s="82">
        <f>IF(V$63,21.06,NA())</f>
        <v>21.06</v>
      </c>
      <c r="W84" s="82" t="e">
        <f>IF(W$63,65.66,NA())</f>
        <v>#N/A</v>
      </c>
      <c r="X84" s="82" t="e">
        <f>IF(X$63,50.19,NA())</f>
        <v>#N/A</v>
      </c>
      <c r="Y84" s="82" t="e">
        <f>IF(Y$63,45.33,NA())</f>
        <v>#N/A</v>
      </c>
      <c r="Z84" s="82" t="e">
        <f>IF(Z$63,58.4,NA())</f>
        <v>#N/A</v>
      </c>
      <c r="AA84" s="82" t="e">
        <f>IF(AA$63,52.38,NA())</f>
        <v>#N/A</v>
      </c>
      <c r="AB84" s="82">
        <f>IF(AB$63,25.04,NA())</f>
        <v>25.04</v>
      </c>
      <c r="AC84" s="82" t="e">
        <f>IF(AC$63,68.25,NA())</f>
        <v>#N/A</v>
      </c>
      <c r="AD84" s="82" t="e">
        <f>IF(AD$63,43.33,NA())</f>
        <v>#N/A</v>
      </c>
      <c r="AE84" s="82" t="e">
        <f>IF(AE$63,60.23,NA())</f>
        <v>#N/A</v>
      </c>
      <c r="AF84" s="82" t="e">
        <f>IF(AF$63,43.83,NA())</f>
        <v>#N/A</v>
      </c>
      <c r="AG84" s="82" t="e">
        <f>IF(AG$63,32.78,NA())</f>
        <v>#N/A</v>
      </c>
      <c r="AH84" s="82" t="e">
        <f>IF(AH$63,33.45,NA())</f>
        <v>#N/A</v>
      </c>
      <c r="AI84" s="82">
        <f>IF(AI$63,34.66,NA())</f>
        <v>34.659999999999997</v>
      </c>
      <c r="AJ84" s="82" t="e">
        <f>IF(AJ$63,76.18,NA())</f>
        <v>#N/A</v>
      </c>
      <c r="AK84" s="82" t="e">
        <f>IF(AK$63,57.31,NA())</f>
        <v>#N/A</v>
      </c>
      <c r="AL84" s="82">
        <f>IF(AL$63,22.12,NA())</f>
        <v>22.12</v>
      </c>
      <c r="AM84" s="82" t="e">
        <f>IF(AM$63,24.8,NA())</f>
        <v>#N/A</v>
      </c>
      <c r="AN84" s="82" t="e">
        <f>IF(AN$63,69.66,NA())</f>
        <v>#N/A</v>
      </c>
      <c r="AO84" s="82" t="e">
        <f>IF(AO$63,42.31,NA())</f>
        <v>#N/A</v>
      </c>
      <c r="AP84" s="82" t="e">
        <f>IF(AP$63,37.88,NA())</f>
        <v>#N/A</v>
      </c>
      <c r="AQ84" s="82" t="e">
        <f>IF(AQ$63,32.92,NA())</f>
        <v>#N/A</v>
      </c>
      <c r="AR84" s="82" t="e">
        <f>IF(AR$63,27.54,NA())</f>
        <v>#N/A</v>
      </c>
      <c r="AS84" s="82" t="e">
        <f>IF(AS$63,48.46,NA())</f>
        <v>#N/A</v>
      </c>
      <c r="AT84" s="82" t="e">
        <f>IF(AT$63,61.39,NA())</f>
        <v>#N/A</v>
      </c>
      <c r="AU84" s="82">
        <f>IF(AU$63,25.78,NA())</f>
        <v>25.78</v>
      </c>
      <c r="AV84" s="82">
        <f>IF(AV$63,19.58,NA())</f>
        <v>19.579999999999998</v>
      </c>
      <c r="AW84" s="82" t="e">
        <f>IF(AW$63,64.88,NA())</f>
        <v>#N/A</v>
      </c>
      <c r="AX84" s="82" t="e">
        <f>IF(AX$63,30.61,NA())</f>
        <v>#N/A</v>
      </c>
      <c r="AY84" s="82" t="e">
        <f>IF(AY$63,55.54,NA())</f>
        <v>#N/A</v>
      </c>
    </row>
    <row r="85" spans="1:51" x14ac:dyDescent="0.3">
      <c r="A85" s="81" t="s">
        <v>100</v>
      </c>
      <c r="B85" s="82">
        <f>IF(B$63,162.42,NA())</f>
        <v>162.41999999999999</v>
      </c>
      <c r="C85" s="82">
        <f>IF(C$63,46.27,NA())</f>
        <v>46.27</v>
      </c>
      <c r="D85" s="82">
        <f>IF(D$63,104.76,NA())</f>
        <v>104.76</v>
      </c>
      <c r="E85" s="82">
        <f>IF(E$63,39.71,NA())</f>
        <v>39.71</v>
      </c>
      <c r="F85" s="82">
        <f>IF(F$63,49.44,NA())</f>
        <v>49.44</v>
      </c>
      <c r="G85" s="82">
        <f>IF(G$63,25.18,NA())</f>
        <v>25.18</v>
      </c>
      <c r="H85" s="82" t="e">
        <f>IF(H$63,60.78,NA())</f>
        <v>#N/A</v>
      </c>
      <c r="I85" s="82" t="e">
        <f>IF(I$63,41.71,NA())</f>
        <v>#N/A</v>
      </c>
      <c r="J85" s="82" t="e">
        <f>NA()</f>
        <v>#N/A</v>
      </c>
      <c r="K85" s="82" t="e">
        <f>IF(K$63,39.83,NA())</f>
        <v>#N/A</v>
      </c>
      <c r="L85" s="82" t="e">
        <f>IF(L$63,48.97,NA())</f>
        <v>#N/A</v>
      </c>
      <c r="M85" s="82" t="e">
        <f>IF(M$63,100.36,NA())</f>
        <v>#N/A</v>
      </c>
      <c r="N85" s="82" t="e">
        <f>IF(N$63,37.01,NA())</f>
        <v>#N/A</v>
      </c>
      <c r="O85" s="82">
        <f>IF(O$63,32.88,NA())</f>
        <v>32.880000000000003</v>
      </c>
      <c r="P85" s="82" t="e">
        <f>IF(P$63,24.28,NA())</f>
        <v>#N/A</v>
      </c>
      <c r="Q85" s="82" t="e">
        <f>IF(Q$63,90.31,NA())</f>
        <v>#N/A</v>
      </c>
      <c r="R85" s="82">
        <f>IF(R$63,36.13,NA())</f>
        <v>36.130000000000003</v>
      </c>
      <c r="S85" s="82" t="e">
        <f>IF(S$63,83.28,NA())</f>
        <v>#N/A</v>
      </c>
      <c r="T85" s="82" t="e">
        <f>IF(T$63,68.03,NA())</f>
        <v>#N/A</v>
      </c>
      <c r="U85" s="82" t="e">
        <f>IF(U$63,127.08,NA())</f>
        <v>#N/A</v>
      </c>
      <c r="V85" s="82">
        <f>IF(V$63,23.69,NA())</f>
        <v>23.69</v>
      </c>
      <c r="W85" s="82" t="e">
        <f>IF(W$63,67.17,NA())</f>
        <v>#N/A</v>
      </c>
      <c r="X85" s="82" t="e">
        <f>IF(X$63,52.07,NA())</f>
        <v>#N/A</v>
      </c>
      <c r="Y85" s="82" t="e">
        <f>IF(Y$63,42.39,NA())</f>
        <v>#N/A</v>
      </c>
      <c r="Z85" s="82" t="e">
        <f>IF(Z$63,58.04,NA())</f>
        <v>#N/A</v>
      </c>
      <c r="AA85" s="82" t="e">
        <f>IF(AA$63,53.74,NA())</f>
        <v>#N/A</v>
      </c>
      <c r="AB85" s="82">
        <f>IF(AB$63,25.3,NA())</f>
        <v>25.3</v>
      </c>
      <c r="AC85" s="82" t="e">
        <f>IF(AC$63,71.51,NA())</f>
        <v>#N/A</v>
      </c>
      <c r="AD85" s="82" t="e">
        <f>IF(AD$63,45.25,NA())</f>
        <v>#N/A</v>
      </c>
      <c r="AE85" s="82" t="e">
        <f>IF(AE$63,59.38,NA())</f>
        <v>#N/A</v>
      </c>
      <c r="AF85" s="82" t="e">
        <f>IF(AF$63,48.39,NA())</f>
        <v>#N/A</v>
      </c>
      <c r="AG85" s="82" t="e">
        <f>IF(AG$63,34.27,NA())</f>
        <v>#N/A</v>
      </c>
      <c r="AH85" s="82" t="e">
        <f>IF(AH$63,32.93,NA())</f>
        <v>#N/A</v>
      </c>
      <c r="AI85" s="82">
        <f>IF(AI$63,33.15,NA())</f>
        <v>33.15</v>
      </c>
      <c r="AJ85" s="82" t="e">
        <f>IF(AJ$63,79.18,NA())</f>
        <v>#N/A</v>
      </c>
      <c r="AK85" s="82" t="e">
        <f>IF(AK$63,58.39,NA())</f>
        <v>#N/A</v>
      </c>
      <c r="AL85" s="82">
        <f>IF(AL$63,23.44,NA())</f>
        <v>23.44</v>
      </c>
      <c r="AM85" s="82" t="e">
        <f>IF(AM$63,26.18,NA())</f>
        <v>#N/A</v>
      </c>
      <c r="AN85" s="82" t="e">
        <f>IF(AN$63,70.92,NA())</f>
        <v>#N/A</v>
      </c>
      <c r="AO85" s="82" t="e">
        <f>IF(AO$63,41.29,NA())</f>
        <v>#N/A</v>
      </c>
      <c r="AP85" s="82" t="e">
        <f>IF(AP$63,38.92,NA())</f>
        <v>#N/A</v>
      </c>
      <c r="AQ85" s="82" t="e">
        <f>IF(AQ$63,32.92,NA())</f>
        <v>#N/A</v>
      </c>
      <c r="AR85" s="82" t="e">
        <f>IF(AR$63,28.66,NA())</f>
        <v>#N/A</v>
      </c>
      <c r="AS85" s="82" t="e">
        <f>IF(AS$63,48.97,NA())</f>
        <v>#N/A</v>
      </c>
      <c r="AT85" s="82" t="e">
        <f>IF(AT$63,62.49,NA())</f>
        <v>#N/A</v>
      </c>
      <c r="AU85" s="82">
        <f>IF(AU$63,25.78,NA())</f>
        <v>25.78</v>
      </c>
      <c r="AV85" s="82">
        <f>IF(AV$63,18.73,NA())</f>
        <v>18.73</v>
      </c>
      <c r="AW85" s="82" t="e">
        <f>IF(AW$63,59.89,NA())</f>
        <v>#N/A</v>
      </c>
      <c r="AX85" s="82" t="e">
        <f>IF(AX$63,32.31,NA())</f>
        <v>#N/A</v>
      </c>
      <c r="AY85" s="82" t="e">
        <f>IF(AY$63,57.66,NA())</f>
        <v>#N/A</v>
      </c>
    </row>
    <row r="86" spans="1:51" x14ac:dyDescent="0.3">
      <c r="A86" s="81" t="s">
        <v>101</v>
      </c>
      <c r="B86" s="82">
        <f>IF(B$63,159.96,NA())</f>
        <v>159.96</v>
      </c>
      <c r="C86" s="82">
        <f>IF(C$63,46.27,NA())</f>
        <v>46.27</v>
      </c>
      <c r="D86" s="82">
        <f>IF(D$63,106.54,NA())</f>
        <v>106.54</v>
      </c>
      <c r="E86" s="82">
        <f>IF(E$63,39.02,NA())</f>
        <v>39.020000000000003</v>
      </c>
      <c r="F86" s="82">
        <f>IF(F$63,49.44,NA())</f>
        <v>49.44</v>
      </c>
      <c r="G86" s="82">
        <f>IF(G$63,27.88,NA())</f>
        <v>27.88</v>
      </c>
      <c r="H86" s="82" t="e">
        <f>IF(H$63,61.51,NA())</f>
        <v>#N/A</v>
      </c>
      <c r="I86" s="82" t="e">
        <f>IF(I$63,42.51,NA())</f>
        <v>#N/A</v>
      </c>
      <c r="J86" s="82" t="e">
        <f>NA()</f>
        <v>#N/A</v>
      </c>
      <c r="K86" s="82" t="e">
        <f>IF(K$63,42.47,NA())</f>
        <v>#N/A</v>
      </c>
      <c r="L86" s="82" t="e">
        <f>IF(L$63,50.48,NA())</f>
        <v>#N/A</v>
      </c>
      <c r="M86" s="82" t="e">
        <f>IF(M$63,102.84,NA())</f>
        <v>#N/A</v>
      </c>
      <c r="N86" s="82" t="e">
        <f>IF(N$63,42.3,NA())</f>
        <v>#N/A</v>
      </c>
      <c r="O86" s="82">
        <f>IF(O$63,33.27,NA())</f>
        <v>33.270000000000003</v>
      </c>
      <c r="P86" s="82" t="e">
        <f>IF(P$63,25.17,NA())</f>
        <v>#N/A</v>
      </c>
      <c r="Q86" s="82" t="e">
        <f>IF(Q$63,87.48,NA())</f>
        <v>#N/A</v>
      </c>
      <c r="R86" s="82">
        <f>IF(R$63,35.81,NA())</f>
        <v>35.81</v>
      </c>
      <c r="S86" s="82" t="e">
        <f>IF(S$63,84.46,NA())</f>
        <v>#N/A</v>
      </c>
      <c r="T86" s="82" t="e">
        <f>IF(T$63,69.07,NA())</f>
        <v>#N/A</v>
      </c>
      <c r="U86" s="82" t="e">
        <f>IF(U$63,120.75,NA())</f>
        <v>#N/A</v>
      </c>
      <c r="V86" s="82">
        <f>IF(V$63,21.06,NA())</f>
        <v>21.06</v>
      </c>
      <c r="W86" s="82" t="e">
        <f>IF(W$63,68.68,NA())</f>
        <v>#N/A</v>
      </c>
      <c r="X86" s="82" t="e">
        <f>IF(X$63,52.93,NA())</f>
        <v>#N/A</v>
      </c>
      <c r="Y86" s="82" t="e">
        <f>IF(Y$63,40.62,NA())</f>
        <v>#N/A</v>
      </c>
      <c r="Z86" s="82" t="e">
        <f>IF(Z$63,56.97,NA())</f>
        <v>#N/A</v>
      </c>
      <c r="AA86" s="82" t="e">
        <f>IF(AA$63,51.02,NA())</f>
        <v>#N/A</v>
      </c>
      <c r="AB86" s="82">
        <f>IF(AB$63,26.49,NA())</f>
        <v>26.49</v>
      </c>
      <c r="AC86" s="82" t="e">
        <f>IF(AC$63,73.35,NA())</f>
        <v>#N/A</v>
      </c>
      <c r="AD86" s="82" t="e">
        <f>IF(AD$63,44.29,NA())</f>
        <v>#N/A</v>
      </c>
      <c r="AE86" s="82" t="e">
        <f>IF(AE$63,61.66,NA())</f>
        <v>#N/A</v>
      </c>
      <c r="AF86" s="82" t="e">
        <f>IF(AF$63,47.48,NA())</f>
        <v>#N/A</v>
      </c>
      <c r="AG86" s="82" t="e">
        <f>IF(AG$63,36.51,NA())</f>
        <v>#N/A</v>
      </c>
      <c r="AH86" s="82" t="e">
        <f>IF(AH$63,30.87,NA())</f>
        <v>#N/A</v>
      </c>
      <c r="AI86" s="82">
        <f>IF(AI$63,31.64,NA())</f>
        <v>31.64</v>
      </c>
      <c r="AJ86" s="82" t="e">
        <f>IF(AJ$63,79.6,NA())</f>
        <v>#N/A</v>
      </c>
      <c r="AK86" s="82" t="e">
        <f>IF(AK$63,58.39,NA())</f>
        <v>#N/A</v>
      </c>
      <c r="AL86" s="82">
        <f>IF(AL$63,24.43,NA())</f>
        <v>24.43</v>
      </c>
      <c r="AM86" s="82" t="e">
        <f>IF(AM$63,24.8,NA())</f>
        <v>#N/A</v>
      </c>
      <c r="AN86" s="82" t="e">
        <f>IF(AN$63,71.17,NA())</f>
        <v>#N/A</v>
      </c>
      <c r="AO86" s="82" t="e">
        <f>IF(AO$63,40.92,NA())</f>
        <v>#N/A</v>
      </c>
      <c r="AP86" s="82" t="e">
        <f>IF(AP$63,37.88,NA())</f>
        <v>#N/A</v>
      </c>
      <c r="AQ86" s="82" t="e">
        <f>IF(AQ$63,34.1,NA())</f>
        <v>#N/A</v>
      </c>
      <c r="AR86" s="82" t="e">
        <f>IF(AR$63,29.22,NA())</f>
        <v>#N/A</v>
      </c>
      <c r="AS86" s="82" t="e">
        <f>IF(AS$63,48.8,NA())</f>
        <v>#N/A</v>
      </c>
      <c r="AT86" s="82" t="e">
        <f>IF(AT$63,62.6,NA())</f>
        <v>#N/A</v>
      </c>
      <c r="AU86" s="82">
        <f>IF(AU$63,25.78,NA())</f>
        <v>25.78</v>
      </c>
      <c r="AV86" s="82">
        <f>IF(AV$63,19.58,NA())</f>
        <v>19.579999999999998</v>
      </c>
      <c r="AW86" s="82" t="e">
        <f>IF(AW$63,66.88,NA())</f>
        <v>#N/A</v>
      </c>
      <c r="AX86" s="82" t="e">
        <f>IF(AX$63,33.16,NA())</f>
        <v>#N/A</v>
      </c>
      <c r="AY86" s="82" t="e">
        <f>IF(AY$63,57.66,NA())</f>
        <v>#N/A</v>
      </c>
    </row>
    <row r="87" spans="1:51" x14ac:dyDescent="0.3">
      <c r="A87" s="81" t="s">
        <v>102</v>
      </c>
      <c r="B87" s="82">
        <f>IF(B$63,155.56,NA())</f>
        <v>155.56</v>
      </c>
      <c r="C87" s="82">
        <f>IF(C$63,47.54,NA())</f>
        <v>47.54</v>
      </c>
      <c r="D87" s="82">
        <f>IF(D$63,104.04,NA())</f>
        <v>104.04</v>
      </c>
      <c r="E87" s="82">
        <f>IF(E$63,41.78,NA())</f>
        <v>41.78</v>
      </c>
      <c r="F87" s="82">
        <f>IF(F$63,51.84,NA())</f>
        <v>51.84</v>
      </c>
      <c r="G87" s="82">
        <f>IF(G$63,30.4,NA())</f>
        <v>30.4</v>
      </c>
      <c r="H87" s="82" t="e">
        <f>IF(H$63,62.23,NA())</f>
        <v>#N/A</v>
      </c>
      <c r="I87" s="82" t="e">
        <f>IF(I$63,45.03,NA())</f>
        <v>#N/A</v>
      </c>
      <c r="J87" s="82" t="e">
        <f>NA()</f>
        <v>#N/A</v>
      </c>
      <c r="K87" s="82" t="e">
        <f>IF(K$63,43.85,NA())</f>
        <v>#N/A</v>
      </c>
      <c r="L87" s="82" t="e">
        <f>IF(L$63,49.79,NA())</f>
        <v>#N/A</v>
      </c>
      <c r="M87" s="82" t="e">
        <f>IF(M$63,105.87,NA())</f>
        <v>#N/A</v>
      </c>
      <c r="N87" s="82" t="e">
        <f>IF(N$63,44.57,NA())</f>
        <v>#N/A</v>
      </c>
      <c r="O87" s="82">
        <f>IF(O$63,34.04,NA())</f>
        <v>34.04</v>
      </c>
      <c r="P87" s="82" t="e">
        <f>IF(P$63,23.4,NA())</f>
        <v>#N/A</v>
      </c>
      <c r="Q87" s="82" t="e">
        <f>IF(Q$63,76.2,NA())</f>
        <v>#N/A</v>
      </c>
      <c r="R87" s="82">
        <f>IF(R$63,35.81,NA())</f>
        <v>35.81</v>
      </c>
      <c r="S87" s="82" t="e">
        <f>IF(S$63,85.45,NA())</f>
        <v>#N/A</v>
      </c>
      <c r="T87" s="82" t="e">
        <f>IF(T$63,70.26,NA())</f>
        <v>#N/A</v>
      </c>
      <c r="U87" s="82" t="e">
        <f>IF(U$63,116.73,NA())</f>
        <v>#N/A</v>
      </c>
      <c r="V87" s="82">
        <f>IF(V$63,21.93,NA())</f>
        <v>21.93</v>
      </c>
      <c r="W87" s="82" t="e">
        <f>IF(W$63,71.14,NA())</f>
        <v>#N/A</v>
      </c>
      <c r="X87" s="82" t="e">
        <f>IF(X$63,54.74,NA())</f>
        <v>#N/A</v>
      </c>
      <c r="Y87" s="82" t="e">
        <f>IF(Y$63,38.27,NA())</f>
        <v>#N/A</v>
      </c>
      <c r="Z87" s="82" t="e">
        <f>IF(Z$63,58.04,NA())</f>
        <v>#N/A</v>
      </c>
      <c r="AA87" s="82" t="e">
        <f>IF(AA$63,53.74,NA())</f>
        <v>#N/A</v>
      </c>
      <c r="AB87" s="82">
        <f>IF(AB$63,27.31,NA())</f>
        <v>27.31</v>
      </c>
      <c r="AC87" s="82" t="e">
        <f>IF(AC$63,73.25,NA())</f>
        <v>#N/A</v>
      </c>
      <c r="AD87" s="82" t="e">
        <f>IF(AD$63,47.18,NA())</f>
        <v>#N/A</v>
      </c>
      <c r="AE87" s="82" t="e">
        <f>IF(AE$63,60.95,NA())</f>
        <v>#N/A</v>
      </c>
      <c r="AF87" s="82" t="e">
        <f>IF(AF$63,46.57,NA())</f>
        <v>#N/A</v>
      </c>
      <c r="AG87" s="82" t="e">
        <f>IF(AG$63,37.25,NA())</f>
        <v>#N/A</v>
      </c>
      <c r="AH87" s="82" t="e">
        <f>IF(AH$63,31.9,NA())</f>
        <v>#N/A</v>
      </c>
      <c r="AI87" s="82">
        <f>IF(AI$63,30.14,NA())</f>
        <v>30.14</v>
      </c>
      <c r="AJ87" s="82" t="e">
        <f>IF(AJ$63,83.46,NA())</f>
        <v>#N/A</v>
      </c>
      <c r="AK87" s="82" t="e">
        <f>IF(AK$63,60.67,NA())</f>
        <v>#N/A</v>
      </c>
      <c r="AL87" s="82">
        <f>IF(AL$63,25.09,NA())</f>
        <v>25.09</v>
      </c>
      <c r="AM87" s="82" t="e">
        <f>IF(AM$63,28.24,NA())</f>
        <v>#N/A</v>
      </c>
      <c r="AN87" s="82" t="e">
        <f>IF(AN$63,72.93,NA())</f>
        <v>#N/A</v>
      </c>
      <c r="AO87" s="82" t="e">
        <f>IF(AO$63,42.12,NA())</f>
        <v>#N/A</v>
      </c>
      <c r="AP87" s="82" t="e">
        <f>IF(AP$63,42.56,NA())</f>
        <v>#N/A</v>
      </c>
      <c r="AQ87" s="82" t="e">
        <f>IF(AQ$63,33.12,NA())</f>
        <v>#N/A</v>
      </c>
      <c r="AR87" s="82" t="e">
        <f>IF(AR$63,32.03,NA())</f>
        <v>#N/A</v>
      </c>
      <c r="AS87" s="82" t="e">
        <f>IF(AS$63,50.5,NA())</f>
        <v>#N/A</v>
      </c>
      <c r="AT87" s="82" t="e">
        <f>IF(AT$63,60.95,NA())</f>
        <v>#N/A</v>
      </c>
      <c r="AU87" s="82">
        <f>IF(AU$63,24.83,NA())</f>
        <v>24.83</v>
      </c>
      <c r="AV87" s="82">
        <f>IF(AV$63,19.58,NA())</f>
        <v>19.579999999999998</v>
      </c>
      <c r="AW87" s="82" t="e">
        <f>IF(AW$63,70.87,NA())</f>
        <v>#N/A</v>
      </c>
      <c r="AX87" s="82" t="e">
        <f>IF(AX$63,33.16,NA())</f>
        <v>#N/A</v>
      </c>
      <c r="AY87" s="82" t="e">
        <f>IF(AY$63,60.37,NA())</f>
        <v>#N/A</v>
      </c>
    </row>
    <row r="88" spans="1:51" x14ac:dyDescent="0.3">
      <c r="A88" s="81" t="s">
        <v>103</v>
      </c>
      <c r="B88" s="82">
        <f>IF(B$63,153.8,NA())</f>
        <v>153.80000000000001</v>
      </c>
      <c r="C88" s="82">
        <f>IF(C$63,49.44,NA())</f>
        <v>49.44</v>
      </c>
      <c r="D88" s="82">
        <f>IF(D$63,102.61,NA())</f>
        <v>102.61</v>
      </c>
      <c r="E88" s="82">
        <f>IF(E$63,43.16,NA())</f>
        <v>43.16</v>
      </c>
      <c r="F88" s="82">
        <f>IF(F$63,54.72,NA())</f>
        <v>54.72</v>
      </c>
      <c r="G88" s="82">
        <f>IF(G$63,32.02,NA())</f>
        <v>32.020000000000003</v>
      </c>
      <c r="H88" s="82" t="e">
        <f>IF(H$63,65.01,NA())</f>
        <v>#N/A</v>
      </c>
      <c r="I88" s="82" t="e">
        <f>IF(I$63,45.83,NA())</f>
        <v>#N/A</v>
      </c>
      <c r="J88" s="82" t="e">
        <f>NA()</f>
        <v>#N/A</v>
      </c>
      <c r="K88" s="82" t="e">
        <f>IF(K$63,43.47,NA())</f>
        <v>#N/A</v>
      </c>
      <c r="L88" s="82" t="e">
        <f>IF(L$63,50.07,NA())</f>
        <v>#N/A</v>
      </c>
      <c r="M88" s="82" t="e">
        <f>IF(M$63,108.35,NA())</f>
        <v>#N/A</v>
      </c>
      <c r="N88" s="82" t="e">
        <f>IF(N$63,43.81,NA())</f>
        <v>#N/A</v>
      </c>
      <c r="O88" s="82">
        <f>IF(O$63,35.97,NA())</f>
        <v>35.97</v>
      </c>
      <c r="P88" s="82" t="e">
        <f>IF(P$63,24.28,NA())</f>
        <v>#N/A</v>
      </c>
      <c r="Q88" s="82" t="e">
        <f>IF(Q$63,80.9,NA())</f>
        <v>#N/A</v>
      </c>
      <c r="R88" s="82">
        <f>IF(R$63,35.28,NA())</f>
        <v>35.28</v>
      </c>
      <c r="S88" s="82" t="e">
        <f>IF(S$63,90.97,NA())</f>
        <v>#N/A</v>
      </c>
      <c r="T88" s="82" t="e">
        <f>IF(T$63,69.37,NA())</f>
        <v>#N/A</v>
      </c>
      <c r="U88" s="82" t="e">
        <f>IF(U$63,113.28,NA())</f>
        <v>#N/A</v>
      </c>
      <c r="V88" s="82">
        <f>IF(V$63,27.2,NA())</f>
        <v>27.2</v>
      </c>
      <c r="W88" s="82" t="e">
        <f>IF(W$63,71.83,NA())</f>
        <v>#N/A</v>
      </c>
      <c r="X88" s="82" t="e">
        <f>IF(X$63,56.69,NA())</f>
        <v>#N/A</v>
      </c>
      <c r="Y88" s="82" t="e">
        <f>IF(Y$63,40.62,NA())</f>
        <v>#N/A</v>
      </c>
      <c r="Z88" s="82" t="e">
        <f>IF(Z$63,55.89,NA())</f>
        <v>#N/A</v>
      </c>
      <c r="AA88" s="82" t="e">
        <f>IF(AA$63,53.74,NA())</f>
        <v>#N/A</v>
      </c>
      <c r="AB88" s="82">
        <f>IF(AB$63,27.9,NA())</f>
        <v>27.9</v>
      </c>
      <c r="AC88" s="82" t="e">
        <f>IF(AC$63,74.98,NA())</f>
        <v>#N/A</v>
      </c>
      <c r="AD88" s="82" t="e">
        <f>IF(AD$63,54.88,NA())</f>
        <v>#N/A</v>
      </c>
      <c r="AE88" s="82" t="e">
        <f>IF(AE$63,62.23,NA())</f>
        <v>#N/A</v>
      </c>
      <c r="AF88" s="82" t="e">
        <f>IF(AF$63,42,NA())</f>
        <v>#N/A</v>
      </c>
      <c r="AG88" s="82" t="e">
        <f>IF(AG$63,39.49,NA())</f>
        <v>#N/A</v>
      </c>
      <c r="AH88" s="82" t="e">
        <f>IF(AH$63,33.45,NA())</f>
        <v>#N/A</v>
      </c>
      <c r="AI88" s="82">
        <f>IF(AI$63,29.38,NA())</f>
        <v>29.38</v>
      </c>
      <c r="AJ88" s="82" t="e">
        <f>IF(AJ$63,87.31,NA())</f>
        <v>#N/A</v>
      </c>
      <c r="AK88" s="82" t="e">
        <f>IF(AK$63,64.34,NA())</f>
        <v>#N/A</v>
      </c>
      <c r="AL88" s="82">
        <f>IF(AL$63,27.4,NA())</f>
        <v>27.4</v>
      </c>
      <c r="AM88" s="82" t="e">
        <f>IF(AM$63,28.24,NA())</f>
        <v>#N/A</v>
      </c>
      <c r="AN88" s="82" t="e">
        <f>IF(AN$63,72.3,NA())</f>
        <v>#N/A</v>
      </c>
      <c r="AO88" s="82" t="e">
        <f>IF(AO$63,41.75,NA())</f>
        <v>#N/A</v>
      </c>
      <c r="AP88" s="82" t="e">
        <f>IF(AP$63,47.75,NA())</f>
        <v>#N/A</v>
      </c>
      <c r="AQ88" s="82" t="e">
        <f>IF(AQ$63,34.89,NA())</f>
        <v>#N/A</v>
      </c>
      <c r="AR88" s="82" t="e">
        <f>IF(AR$63,32.59,NA())</f>
        <v>#N/A</v>
      </c>
      <c r="AS88" s="82" t="e">
        <f>IF(AS$63,51.69,NA())</f>
        <v>#N/A</v>
      </c>
      <c r="AT88" s="82" t="e">
        <f>IF(AT$63,61.5,NA())</f>
        <v>#N/A</v>
      </c>
      <c r="AU88" s="82">
        <f>IF(AU$63,26.74,NA())</f>
        <v>26.74</v>
      </c>
      <c r="AV88" s="82">
        <f>IF(AV$63,19.15,NA())</f>
        <v>19.149999999999999</v>
      </c>
      <c r="AW88" s="82" t="e">
        <f>IF(AW$63,68.87,NA())</f>
        <v>#N/A</v>
      </c>
      <c r="AX88" s="82" t="e">
        <f>IF(AX$63,33.16,NA())</f>
        <v>#N/A</v>
      </c>
      <c r="AY88" s="82" t="e">
        <f>IF(AY$63,61.88,NA())</f>
        <v>#N/A</v>
      </c>
    </row>
    <row r="89" spans="1:51" x14ac:dyDescent="0.3">
      <c r="A89" s="81" t="s">
        <v>104</v>
      </c>
      <c r="B89" s="82">
        <f>IF(B$63,154.33,NA())</f>
        <v>154.33000000000001</v>
      </c>
      <c r="C89" s="82">
        <f>IF(C$63,51.98,NA())</f>
        <v>51.98</v>
      </c>
      <c r="D89" s="82">
        <f>IF(D$63,101.54,NA())</f>
        <v>101.54</v>
      </c>
      <c r="E89" s="82">
        <f>IF(E$63,42.13,NA())</f>
        <v>42.13</v>
      </c>
      <c r="F89" s="82">
        <f>IF(F$63,57.6,NA())</f>
        <v>57.6</v>
      </c>
      <c r="G89" s="82">
        <f>IF(G$63,33.1,NA())</f>
        <v>33.1</v>
      </c>
      <c r="H89" s="82" t="e">
        <f>IF(H$63,66.95,NA())</f>
        <v>#N/A</v>
      </c>
      <c r="I89" s="82" t="e">
        <f>IF(I$63,45.96,NA())</f>
        <v>#N/A</v>
      </c>
      <c r="J89" s="82" t="e">
        <f>NA()</f>
        <v>#N/A</v>
      </c>
      <c r="K89" s="82" t="e">
        <f>IF(K$63,45.23,NA())</f>
        <v>#N/A</v>
      </c>
      <c r="L89" s="82" t="e">
        <f>IF(L$63,49.93,NA())</f>
        <v>#N/A</v>
      </c>
      <c r="M89" s="82" t="e">
        <f>IF(M$63,105.32,NA())</f>
        <v>#N/A</v>
      </c>
      <c r="N89" s="82" t="e">
        <f>IF(N$63,44.57,NA())</f>
        <v>#N/A</v>
      </c>
      <c r="O89" s="82">
        <f>IF(O$63,37.13,NA())</f>
        <v>37.130000000000003</v>
      </c>
      <c r="P89" s="82" t="e">
        <f>IF(P$63,28.26,NA())</f>
        <v>#N/A</v>
      </c>
      <c r="Q89" s="82" t="e">
        <f>IF(Q$63,82.78,NA())</f>
        <v>#N/A</v>
      </c>
      <c r="R89" s="82">
        <f>IF(R$63,36.23,NA())</f>
        <v>36.229999999999997</v>
      </c>
      <c r="S89" s="82" t="e">
        <f>IF(S$63,89.39,NA())</f>
        <v>#N/A</v>
      </c>
      <c r="T89" s="82" t="e">
        <f>IF(T$63,70.26,NA())</f>
        <v>#N/A</v>
      </c>
      <c r="U89" s="82" t="e">
        <f>IF(U$63,112.7,NA())</f>
        <v>#N/A</v>
      </c>
      <c r="V89" s="82">
        <f>IF(V$63,27.2,NA())</f>
        <v>27.2</v>
      </c>
      <c r="W89" s="82" t="e">
        <f>IF(W$63,72.51,NA())</f>
        <v>#N/A</v>
      </c>
      <c r="X89" s="82" t="e">
        <f>IF(X$63,58.93,NA())</f>
        <v>#N/A</v>
      </c>
      <c r="Y89" s="82" t="e">
        <f>IF(Y$63,41.8,NA())</f>
        <v>#N/A</v>
      </c>
      <c r="Z89" s="82" t="e">
        <f>IF(Z$63,55.53,NA())</f>
        <v>#N/A</v>
      </c>
      <c r="AA89" s="82" t="e">
        <f>IF(AA$63,53.06,NA())</f>
        <v>#N/A</v>
      </c>
      <c r="AB89" s="82">
        <f>IF(AB$63,28.5,NA())</f>
        <v>28.5</v>
      </c>
      <c r="AC89" s="82" t="e">
        <f>IF(AC$63,74.37,NA())</f>
        <v>#N/A</v>
      </c>
      <c r="AD89" s="82" t="e">
        <f>IF(AD$63,58.73,NA())</f>
        <v>#N/A</v>
      </c>
      <c r="AE89" s="82" t="e">
        <f>IF(AE$63,64.08,NA())</f>
        <v>#N/A</v>
      </c>
      <c r="AF89" s="82" t="e">
        <f>IF(AF$63,46.57,NA())</f>
        <v>#N/A</v>
      </c>
      <c r="AG89" s="82" t="e">
        <f>IF(AG$63,40.98,NA())</f>
        <v>#N/A</v>
      </c>
      <c r="AH89" s="82" t="e">
        <f>IF(AH$63,36.53,NA())</f>
        <v>#N/A</v>
      </c>
      <c r="AI89" s="82">
        <f>IF(AI$63,30.14,NA())</f>
        <v>30.14</v>
      </c>
      <c r="AJ89" s="82" t="e">
        <f>IF(AJ$63,91.16,NA())</f>
        <v>#N/A</v>
      </c>
      <c r="AK89" s="82" t="e">
        <f>IF(AK$63,65.96,NA())</f>
        <v>#N/A</v>
      </c>
      <c r="AL89" s="82">
        <f>IF(AL$63,30.37,NA())</f>
        <v>30.37</v>
      </c>
      <c r="AM89" s="82" t="e">
        <f>IF(AM$63,28.24,NA())</f>
        <v>#N/A</v>
      </c>
      <c r="AN89" s="82" t="e">
        <f>IF(AN$63,73.69,NA())</f>
        <v>#N/A</v>
      </c>
      <c r="AO89" s="82" t="e">
        <f>IF(AO$63,43.79,NA())</f>
        <v>#N/A</v>
      </c>
      <c r="AP89" s="82" t="e">
        <f>IF(AP$63,50.86,NA())</f>
        <v>#N/A</v>
      </c>
      <c r="AQ89" s="82" t="e">
        <f>IF(AQ$63,37.06,NA())</f>
        <v>#N/A</v>
      </c>
      <c r="AR89" s="82" t="e">
        <f>IF(AR$63,34.28,NA())</f>
        <v>#N/A</v>
      </c>
      <c r="AS89" s="82" t="e">
        <f>IF(AS$63,53.05,NA())</f>
        <v>#N/A</v>
      </c>
      <c r="AT89" s="82" t="e">
        <f>IF(AT$63,61.28,NA())</f>
        <v>#N/A</v>
      </c>
      <c r="AU89" s="82">
        <f>IF(AU$63,26.74,NA())</f>
        <v>26.74</v>
      </c>
      <c r="AV89" s="82">
        <f>IF(AV$63,18.3,NA())</f>
        <v>18.3</v>
      </c>
      <c r="AW89" s="82" t="e">
        <f>IF(AW$63,71.87,NA())</f>
        <v>#N/A</v>
      </c>
      <c r="AX89" s="82" t="e">
        <f>IF(AX$63,33.16,NA())</f>
        <v>#N/A</v>
      </c>
      <c r="AY89" s="82" t="e">
        <f>IF(AY$63,64.6,NA())</f>
        <v>#N/A</v>
      </c>
    </row>
    <row r="90" spans="1:51" x14ac:dyDescent="0.3">
      <c r="A90" s="81" t="s">
        <v>105</v>
      </c>
      <c r="B90" s="82">
        <f>IF(B$63,152.04,NA())</f>
        <v>152.04</v>
      </c>
      <c r="C90" s="82">
        <f>IF(C$63,51.34,NA())</f>
        <v>51.34</v>
      </c>
      <c r="D90" s="82">
        <f>IF(D$63,104.04,NA())</f>
        <v>104.04</v>
      </c>
      <c r="E90" s="82">
        <f>IF(E$63,41.09,NA())</f>
        <v>41.09</v>
      </c>
      <c r="F90" s="82">
        <f>IF(F$63,56.16,NA())</f>
        <v>56.16</v>
      </c>
      <c r="G90" s="82">
        <f>IF(G$63,34.72,NA())</f>
        <v>34.72</v>
      </c>
      <c r="H90" s="82" t="e">
        <f>IF(H$63,64.89,NA())</f>
        <v>#N/A</v>
      </c>
      <c r="I90" s="82" t="e">
        <f>IF(I$63,46.36,NA())</f>
        <v>#N/A</v>
      </c>
      <c r="J90" s="82" t="e">
        <f>NA()</f>
        <v>#N/A</v>
      </c>
      <c r="K90" s="82" t="e">
        <f>IF(K$63,47.12,NA())</f>
        <v>#N/A</v>
      </c>
      <c r="L90" s="82" t="e">
        <f>IF(L$63,48.42,NA())</f>
        <v>#N/A</v>
      </c>
      <c r="M90" s="82" t="e">
        <f>IF(M$63,107.25,NA())</f>
        <v>#N/A</v>
      </c>
      <c r="N90" s="82" t="e">
        <f>IF(N$63,51.37,NA())</f>
        <v>#N/A</v>
      </c>
      <c r="O90" s="82">
        <f>IF(O$63,33.27,NA())</f>
        <v>33.270000000000003</v>
      </c>
      <c r="P90" s="82" t="e">
        <f>IF(P$63,27.82,NA())</f>
        <v>#N/A</v>
      </c>
      <c r="Q90" s="82" t="e">
        <f>IF(Q$63,84.66,NA())</f>
        <v>#N/A</v>
      </c>
      <c r="R90" s="82">
        <f>IF(R$63,37.4,NA())</f>
        <v>37.4</v>
      </c>
      <c r="S90" s="82" t="e">
        <f>IF(S$63,85.05,NA())</f>
        <v>#N/A</v>
      </c>
      <c r="T90" s="82" t="e">
        <f>IF(T$63,69.97,NA())</f>
        <v>#N/A</v>
      </c>
      <c r="U90" s="82" t="e">
        <f>IF(U$63,115.58,NA())</f>
        <v>#N/A</v>
      </c>
      <c r="V90" s="82">
        <f>IF(V$63,30.71,NA())</f>
        <v>30.71</v>
      </c>
      <c r="W90" s="82" t="e">
        <f>IF(W$63,71.56,NA())</f>
        <v>#N/A</v>
      </c>
      <c r="X90" s="82" t="e">
        <f>IF(X$63,58.28,NA())</f>
        <v>#N/A</v>
      </c>
      <c r="Y90" s="82" t="e">
        <f>IF(Y$63,42.39,NA())</f>
        <v>#N/A</v>
      </c>
      <c r="Z90" s="82" t="e">
        <f>IF(Z$63,55.89,NA())</f>
        <v>#N/A</v>
      </c>
      <c r="AA90" s="82" t="e">
        <f>IF(AA$63,53.06,NA())</f>
        <v>#N/A</v>
      </c>
      <c r="AB90" s="82">
        <f>IF(AB$63,28.8,NA())</f>
        <v>28.8</v>
      </c>
      <c r="AC90" s="82" t="e">
        <f>IF(AC$63,73.76,NA())</f>
        <v>#N/A</v>
      </c>
      <c r="AD90" s="82" t="e">
        <f>IF(AD$63,61.62,NA())</f>
        <v>#N/A</v>
      </c>
      <c r="AE90" s="82" t="e">
        <f>IF(AE$63,63.51,NA())</f>
        <v>#N/A</v>
      </c>
      <c r="AF90" s="82" t="e">
        <f>IF(AF$63,46.57,NA())</f>
        <v>#N/A</v>
      </c>
      <c r="AG90" s="82" t="e">
        <f>IF(AG$63,41.72,NA())</f>
        <v>#N/A</v>
      </c>
      <c r="AH90" s="82" t="e">
        <f>IF(AH$63,38.59,NA())</f>
        <v>#N/A</v>
      </c>
      <c r="AI90" s="82">
        <f>IF(AI$63,33.15,NA())</f>
        <v>33.15</v>
      </c>
      <c r="AJ90" s="82" t="e">
        <f>IF(AJ$63,90.3,NA())</f>
        <v>#N/A</v>
      </c>
      <c r="AK90" s="82" t="e">
        <f>IF(AK$63,68.88,NA())</f>
        <v>#N/A</v>
      </c>
      <c r="AL90" s="82">
        <f>IF(AL$63,32.02,NA())</f>
        <v>32.020000000000003</v>
      </c>
      <c r="AM90" s="82" t="e">
        <f>IF(AM$63,28.93,NA())</f>
        <v>#N/A</v>
      </c>
      <c r="AN90" s="82" t="e">
        <f>IF(AN$63,72.18,NA())</f>
        <v>#N/A</v>
      </c>
      <c r="AO90" s="82" t="e">
        <f>IF(AO$63,43.14,NA())</f>
        <v>#N/A</v>
      </c>
      <c r="AP90" s="82" t="e">
        <f>IF(AP$63,49.82,NA())</f>
        <v>#N/A</v>
      </c>
      <c r="AQ90" s="82" t="e">
        <f>IF(AQ$63,36.27,NA())</f>
        <v>#N/A</v>
      </c>
      <c r="AR90" s="82" t="e">
        <f>IF(AR$63,35.97,NA())</f>
        <v>#N/A</v>
      </c>
      <c r="AS90" s="82" t="e">
        <f>IF(AS$63,54.24,NA())</f>
        <v>#N/A</v>
      </c>
      <c r="AT90" s="82" t="e">
        <f>IF(AT$63,60.62,NA())</f>
        <v>#N/A</v>
      </c>
      <c r="AU90" s="82">
        <f>IF(AU$63,26.74,NA())</f>
        <v>26.74</v>
      </c>
      <c r="AV90" s="82">
        <f>IF(AV$63,18.73,NA())</f>
        <v>18.73</v>
      </c>
      <c r="AW90" s="82" t="e">
        <f>IF(AW$63,72.87,NA())</f>
        <v>#N/A</v>
      </c>
      <c r="AX90" s="82" t="e">
        <f>IF(AX$63,32.31,NA())</f>
        <v>#N/A</v>
      </c>
      <c r="AY90" s="82" t="e">
        <f>IF(AY$63,67.92,NA())</f>
        <v>#N/A</v>
      </c>
    </row>
    <row r="91" spans="1:51" x14ac:dyDescent="0.3">
      <c r="A91" s="81" t="s">
        <v>106</v>
      </c>
      <c r="B91" s="82">
        <f>IF(B$63,150.28,NA())</f>
        <v>150.28</v>
      </c>
      <c r="C91" s="82">
        <f>IF(C$63,51.98,NA())</f>
        <v>51.98</v>
      </c>
      <c r="D91" s="82">
        <f>IF(D$63,104.04,NA())</f>
        <v>104.04</v>
      </c>
      <c r="E91" s="82">
        <f>IF(E$63,42.82,NA())</f>
        <v>42.82</v>
      </c>
      <c r="F91" s="82">
        <f>IF(F$63,56.64,NA())</f>
        <v>56.64</v>
      </c>
      <c r="G91" s="82">
        <f>IF(G$63,36.69,NA())</f>
        <v>36.69</v>
      </c>
      <c r="H91" s="82" t="e">
        <f>IF(H$63,63.68,NA())</f>
        <v>#N/A</v>
      </c>
      <c r="I91" s="82" t="e">
        <f>IF(I$63,47.69,NA())</f>
        <v>#N/A</v>
      </c>
      <c r="J91" s="82" t="e">
        <f>NA()</f>
        <v>#N/A</v>
      </c>
      <c r="K91" s="82" t="e">
        <f>IF(K$63,49.13,NA())</f>
        <v>#N/A</v>
      </c>
      <c r="L91" s="82" t="e">
        <f>IF(L$63,48.7,NA())</f>
        <v>#N/A</v>
      </c>
      <c r="M91" s="82" t="e">
        <f>IF(M$63,108.35,NA())</f>
        <v>#N/A</v>
      </c>
      <c r="N91" s="82" t="e">
        <f>IF(N$63,52.12,NA())</f>
        <v>#N/A</v>
      </c>
      <c r="O91" s="82">
        <f>IF(O$63,35.59,NA())</f>
        <v>35.590000000000003</v>
      </c>
      <c r="P91" s="82" t="e">
        <f>IF(P$63,26.05,NA())</f>
        <v>#N/A</v>
      </c>
      <c r="Q91" s="82" t="e">
        <f>IF(Q$63,89.37,NA())</f>
        <v>#N/A</v>
      </c>
      <c r="R91" s="82">
        <f>IF(R$63,38.25,NA())</f>
        <v>38.25</v>
      </c>
      <c r="S91" s="82" t="e">
        <f>IF(S$63,85.64,NA())</f>
        <v>#N/A</v>
      </c>
      <c r="T91" s="82" t="e">
        <f>IF(T$63,72.05,NA())</f>
        <v>#N/A</v>
      </c>
      <c r="U91" s="82" t="e">
        <f>IF(U$63,115.58,NA())</f>
        <v>#N/A</v>
      </c>
      <c r="V91" s="82">
        <f>IF(V$63,30.71,NA())</f>
        <v>30.71</v>
      </c>
      <c r="W91" s="82" t="e">
        <f>IF(W$63,74.02,NA())</f>
        <v>#N/A</v>
      </c>
      <c r="X91" s="82" t="e">
        <f>IF(X$63,58.71,NA())</f>
        <v>#N/A</v>
      </c>
      <c r="Y91" s="82" t="e">
        <f>IF(Y$63,39.44,NA())</f>
        <v>#N/A</v>
      </c>
      <c r="Z91" s="82" t="e">
        <f>IF(Z$63,57.32,NA())</f>
        <v>#N/A</v>
      </c>
      <c r="AA91" s="82" t="e">
        <f>IF(AA$63,54.42,NA())</f>
        <v>#N/A</v>
      </c>
      <c r="AB91" s="82">
        <f>IF(AB$63,28.93,NA())</f>
        <v>28.93</v>
      </c>
      <c r="AC91" s="82" t="e">
        <f>IF(AC$63,76.91,NA())</f>
        <v>#N/A</v>
      </c>
      <c r="AD91" s="82" t="e">
        <f>IF(AD$63,63.54,NA())</f>
        <v>#N/A</v>
      </c>
      <c r="AE91" s="82" t="e">
        <f>IF(AE$63,64.08,NA())</f>
        <v>#N/A</v>
      </c>
      <c r="AF91" s="82" t="e">
        <f>IF(AF$63,49.31,NA())</f>
        <v>#N/A</v>
      </c>
      <c r="AG91" s="82" t="e">
        <f>IF(AG$63,46.94,NA())</f>
        <v>#N/A</v>
      </c>
      <c r="AH91" s="82" t="e">
        <f>IF(AH$63,37.05,NA())</f>
        <v>#N/A</v>
      </c>
      <c r="AI91" s="82">
        <f>IF(AI$63,31.64,NA())</f>
        <v>31.64</v>
      </c>
      <c r="AJ91" s="82" t="e">
        <f>IF(AJ$63,91.59,NA())</f>
        <v>#N/A</v>
      </c>
      <c r="AK91" s="82" t="e">
        <f>IF(AK$63,71.37,NA())</f>
        <v>#N/A</v>
      </c>
      <c r="AL91" s="82">
        <f>IF(AL$63,32.68,NA())</f>
        <v>32.68</v>
      </c>
      <c r="AM91" s="82" t="e">
        <f>IF(AM$63,27.56,NA())</f>
        <v>#N/A</v>
      </c>
      <c r="AN91" s="82" t="e">
        <f>IF(AN$63,72.18,NA())</f>
        <v>#N/A</v>
      </c>
      <c r="AO91" s="82" t="e">
        <f>IF(AO$63,43.33,NA())</f>
        <v>#N/A</v>
      </c>
      <c r="AP91" s="82" t="e">
        <f>IF(AP$63,48.78,NA())</f>
        <v>#N/A</v>
      </c>
      <c r="AQ91" s="82" t="e">
        <f>IF(AQ$63,36.27,NA())</f>
        <v>#N/A</v>
      </c>
      <c r="AR91" s="82" t="e">
        <f>IF(AR$63,33.16,NA())</f>
        <v>#N/A</v>
      </c>
      <c r="AS91" s="82" t="e">
        <f>IF(AS$63,53.73,NA())</f>
        <v>#N/A</v>
      </c>
      <c r="AT91" s="82" t="e">
        <f>IF(AT$63,61.28,NA())</f>
        <v>#N/A</v>
      </c>
      <c r="AU91" s="82">
        <f>IF(AU$63,26.74,NA())</f>
        <v>26.74</v>
      </c>
      <c r="AV91" s="82">
        <f>IF(AV$63,19.58,NA())</f>
        <v>19.579999999999998</v>
      </c>
      <c r="AW91" s="82" t="e">
        <f>IF(AW$63,71.87,NA())</f>
        <v>#N/A</v>
      </c>
      <c r="AX91" s="82" t="e">
        <f>IF(AX$63,30.61,NA())</f>
        <v>#N/A</v>
      </c>
      <c r="AY91" s="82" t="e">
        <f>IF(AY$63,73.05,NA())</f>
        <v>#N/A</v>
      </c>
    </row>
    <row r="92" spans="1:51" x14ac:dyDescent="0.3">
      <c r="A92" s="81" t="s">
        <v>107</v>
      </c>
      <c r="B92" s="82">
        <f>IF(B$63,151.34,NA())</f>
        <v>151.34</v>
      </c>
      <c r="C92" s="82">
        <f>IF(C$63,51.98,NA())</f>
        <v>51.98</v>
      </c>
      <c r="D92" s="82">
        <f>IF(D$63,107.26,NA())</f>
        <v>107.26</v>
      </c>
      <c r="E92" s="82">
        <f>IF(E$63,42.47,NA())</f>
        <v>42.47</v>
      </c>
      <c r="F92" s="82">
        <f>IF(F$63,57.12,NA())</f>
        <v>57.12</v>
      </c>
      <c r="G92" s="82">
        <f>IF(G$63,38.49,NA())</f>
        <v>38.49</v>
      </c>
      <c r="H92" s="82" t="e">
        <f>IF(H$63,61.87,NA())</f>
        <v>#N/A</v>
      </c>
      <c r="I92" s="82" t="e">
        <f>IF(I$63,47.16,NA())</f>
        <v>#N/A</v>
      </c>
      <c r="J92" s="82" t="e">
        <f>NA()</f>
        <v>#N/A</v>
      </c>
      <c r="K92" s="82" t="e">
        <f>IF(K$63,49.63,NA())</f>
        <v>#N/A</v>
      </c>
      <c r="L92" s="82" t="e">
        <f>IF(L$63,48.97,NA())</f>
        <v>#N/A</v>
      </c>
      <c r="M92" s="82" t="e">
        <f>IF(M$63,109.73,NA())</f>
        <v>#N/A</v>
      </c>
      <c r="N92" s="82" t="e">
        <f>IF(N$63,52.88,NA())</f>
        <v>#N/A</v>
      </c>
      <c r="O92" s="82">
        <f>IF(O$63,35.59,NA())</f>
        <v>35.590000000000003</v>
      </c>
      <c r="P92" s="82" t="e">
        <f>IF(P$63,29.14,NA())</f>
        <v>#N/A</v>
      </c>
      <c r="Q92" s="82" t="e">
        <f>IF(Q$63,93.13,NA())</f>
        <v>#N/A</v>
      </c>
      <c r="R92" s="82">
        <f>IF(R$63,37.83,NA())</f>
        <v>37.83</v>
      </c>
      <c r="S92" s="82" t="e">
        <f>IF(S$63,88.41,NA())</f>
        <v>#N/A</v>
      </c>
      <c r="T92" s="82" t="e">
        <f>IF(T$63,72.35,NA())</f>
        <v>#N/A</v>
      </c>
      <c r="U92" s="82" t="e">
        <f>IF(U$63,115.58,NA())</f>
        <v>#N/A</v>
      </c>
      <c r="V92" s="82">
        <f>IF(V$63,32.46,NA())</f>
        <v>32.46</v>
      </c>
      <c r="W92" s="82" t="e">
        <f>IF(W$63,76.08,NA())</f>
        <v>#N/A</v>
      </c>
      <c r="X92" s="82" t="e">
        <f>IF(X$63,59.8,NA())</f>
        <v>#N/A</v>
      </c>
      <c r="Y92" s="82" t="e">
        <f>IF(Y$63,37.68,NA())</f>
        <v>#N/A</v>
      </c>
      <c r="Z92" s="82" t="e">
        <f>IF(Z$63,56.97,NA())</f>
        <v>#N/A</v>
      </c>
      <c r="AA92" s="82" t="e">
        <f>IF(AA$63,53.06,NA())</f>
        <v>#N/A</v>
      </c>
      <c r="AB92" s="82">
        <f>IF(AB$63,29.27,NA())</f>
        <v>29.27</v>
      </c>
      <c r="AC92" s="82" t="e">
        <f>IF(AC$63,77.83,NA())</f>
        <v>#N/A</v>
      </c>
      <c r="AD92" s="82" t="e">
        <f>IF(AD$63,62.58,NA())</f>
        <v>#N/A</v>
      </c>
      <c r="AE92" s="82" t="e">
        <f>IF(AE$63,63.51,NA())</f>
        <v>#N/A</v>
      </c>
      <c r="AF92" s="82" t="e">
        <f>IF(AF$63,52.05,NA())</f>
        <v>#N/A</v>
      </c>
      <c r="AG92" s="82" t="e">
        <f>IF(AG$63,44.7,NA())</f>
        <v>#N/A</v>
      </c>
      <c r="AH92" s="82" t="e">
        <f>IF(AH$63,33.96,NA())</f>
        <v>#N/A</v>
      </c>
      <c r="AI92" s="82">
        <f>IF(AI$63,30.89,NA())</f>
        <v>30.89</v>
      </c>
      <c r="AJ92" s="82" t="e">
        <f>IF(AJ$63,91.16,NA())</f>
        <v>#N/A</v>
      </c>
      <c r="AK92" s="82" t="e">
        <f>IF(AK$63,70.94,NA())</f>
        <v>#N/A</v>
      </c>
      <c r="AL92" s="82">
        <f>IF(AL$63,33.67,NA())</f>
        <v>33.67</v>
      </c>
      <c r="AM92" s="82" t="e">
        <f>IF(AM$63,30.31,NA())</f>
        <v>#N/A</v>
      </c>
      <c r="AN92" s="82" t="e">
        <f>IF(AN$63,71.93,NA())</f>
        <v>#N/A</v>
      </c>
      <c r="AO92" s="82" t="e">
        <f>IF(AO$63,43.7,NA())</f>
        <v>#N/A</v>
      </c>
      <c r="AP92" s="82" t="e">
        <f>IF(AP$63,49.3,NA())</f>
        <v>#N/A</v>
      </c>
      <c r="AQ92" s="82" t="e">
        <f>IF(AQ$63,35.88,NA())</f>
        <v>#N/A</v>
      </c>
      <c r="AR92" s="82" t="e">
        <f>IF(AR$63,29.22,NA())</f>
        <v>#N/A</v>
      </c>
      <c r="AS92" s="82" t="e">
        <f>IF(AS$63,53.39,NA())</f>
        <v>#N/A</v>
      </c>
      <c r="AT92" s="82" t="e">
        <f>IF(AT$63,61.72,NA())</f>
        <v>#N/A</v>
      </c>
      <c r="AU92" s="82">
        <f>IF(AU$63,23.87,NA())</f>
        <v>23.87</v>
      </c>
      <c r="AV92" s="82">
        <f>IF(AV$63,18.3,NA())</f>
        <v>18.3</v>
      </c>
      <c r="AW92" s="82" t="e">
        <f>IF(AW$63,71.87,NA())</f>
        <v>#N/A</v>
      </c>
      <c r="AX92" s="82" t="e">
        <f>IF(AX$63,30.61,NA())</f>
        <v>#N/A</v>
      </c>
      <c r="AY92" s="82" t="e">
        <f>IF(AY$63,77.28,NA())</f>
        <v>#N/A</v>
      </c>
    </row>
    <row r="93" spans="1:51" x14ac:dyDescent="0.3">
      <c r="A93" s="81" t="s">
        <v>108</v>
      </c>
      <c r="B93" s="82">
        <f>IF(B$63,147.29,NA())</f>
        <v>147.29</v>
      </c>
      <c r="C93" s="82">
        <f>IF(C$63,48.81,NA())</f>
        <v>48.81</v>
      </c>
      <c r="D93" s="82">
        <f>IF(D$63,104.04,NA())</f>
        <v>104.04</v>
      </c>
      <c r="E93" s="82">
        <f>IF(E$63,42.13,NA())</f>
        <v>42.13</v>
      </c>
      <c r="F93" s="82">
        <f>IF(F$63,54.72,NA())</f>
        <v>54.72</v>
      </c>
      <c r="G93" s="82">
        <f>IF(G$63,38.67,NA())</f>
        <v>38.67</v>
      </c>
      <c r="H93" s="82" t="e">
        <f>IF(H$63,61.87,NA())</f>
        <v>#N/A</v>
      </c>
      <c r="I93" s="82" t="e">
        <f>IF(I$63,46.63,NA())</f>
        <v>#N/A</v>
      </c>
      <c r="J93" s="82" t="e">
        <f>NA()</f>
        <v>#N/A</v>
      </c>
      <c r="K93" s="82" t="e">
        <f>IF(K$63,48.5,NA())</f>
        <v>#N/A</v>
      </c>
      <c r="L93" s="82" t="e">
        <f>IF(L$63,48.97,NA())</f>
        <v>#N/A</v>
      </c>
      <c r="M93" s="82" t="e">
        <f>IF(M$63,107.53,NA())</f>
        <v>#N/A</v>
      </c>
      <c r="N93" s="82" t="e">
        <f>IF(N$63,52.88,NA())</f>
        <v>#N/A</v>
      </c>
      <c r="O93" s="82">
        <f>IF(O$63,33.65,NA())</f>
        <v>33.65</v>
      </c>
      <c r="P93" s="82" t="e">
        <f>IF(P$63,29.58,NA())</f>
        <v>#N/A</v>
      </c>
      <c r="Q93" s="82" t="e">
        <f>IF(Q$63,98.77,NA())</f>
        <v>#N/A</v>
      </c>
      <c r="R93" s="82">
        <f>IF(R$63,37.29,NA())</f>
        <v>37.29</v>
      </c>
      <c r="S93" s="82" t="e">
        <f>IF(S$63,87.62,NA())</f>
        <v>#N/A</v>
      </c>
      <c r="T93" s="82" t="e">
        <f>IF(T$63,71.16,NA())</f>
        <v>#N/A</v>
      </c>
      <c r="U93" s="82" t="e">
        <f>IF(U$63,108.1,NA())</f>
        <v>#N/A</v>
      </c>
      <c r="V93" s="82">
        <f>IF(V$63,32.46,NA())</f>
        <v>32.46</v>
      </c>
      <c r="W93" s="82" t="e">
        <f>IF(W$63,74.43,NA())</f>
        <v>#N/A</v>
      </c>
      <c r="X93" s="82" t="e">
        <f>IF(X$63,59.29,NA())</f>
        <v>#N/A</v>
      </c>
      <c r="Y93" s="82" t="e">
        <f>IF(Y$63,40.62,NA())</f>
        <v>#N/A</v>
      </c>
      <c r="Z93" s="82" t="e">
        <f>IF(Z$63,57.32,NA())</f>
        <v>#N/A</v>
      </c>
      <c r="AA93" s="82" t="e">
        <f>IF(AA$63,51.02,NA())</f>
        <v>#N/A</v>
      </c>
      <c r="AB93" s="82">
        <f>IF(AB$63,29.14,NA())</f>
        <v>29.14</v>
      </c>
      <c r="AC93" s="82" t="e">
        <f>IF(AC$63,76.1,NA())</f>
        <v>#N/A</v>
      </c>
      <c r="AD93" s="82" t="e">
        <f>IF(AD$63,66.43,NA())</f>
        <v>#N/A</v>
      </c>
      <c r="AE93" s="82" t="e">
        <f>IF(AE$63,64.51,NA())</f>
        <v>#N/A</v>
      </c>
      <c r="AF93" s="82" t="e">
        <f>IF(AF$63,53.87,NA())</f>
        <v>#N/A</v>
      </c>
      <c r="AG93" s="82" t="e">
        <f>IF(AG$63,46.19,NA())</f>
        <v>#N/A</v>
      </c>
      <c r="AH93" s="82" t="e">
        <f>IF(AH$63,31.9,NA())</f>
        <v>#N/A</v>
      </c>
      <c r="AI93" s="82">
        <f>IF(AI$63,28.63,NA())</f>
        <v>28.63</v>
      </c>
      <c r="AJ93" s="82" t="e">
        <f>IF(AJ$63,92.02,NA())</f>
        <v>#N/A</v>
      </c>
      <c r="AK93" s="82" t="e">
        <f>IF(AK$63,70.72,NA())</f>
        <v>#N/A</v>
      </c>
      <c r="AL93" s="82">
        <f>IF(AL$63,35.98,NA())</f>
        <v>35.979999999999997</v>
      </c>
      <c r="AM93" s="82" t="e">
        <f>IF(AM$63,32.38,NA())</f>
        <v>#N/A</v>
      </c>
      <c r="AN93" s="82" t="e">
        <f>IF(AN$63,71.17,NA())</f>
        <v>#N/A</v>
      </c>
      <c r="AO93" s="82" t="e">
        <f>IF(AO$63,44.25,NA())</f>
        <v>#N/A</v>
      </c>
      <c r="AP93" s="82" t="e">
        <f>IF(AP$63,50.86,NA())</f>
        <v>#N/A</v>
      </c>
      <c r="AQ93" s="82" t="e">
        <f>IF(AQ$63,35.88,NA())</f>
        <v>#N/A</v>
      </c>
      <c r="AR93" s="82" t="e">
        <f>IF(AR$63,32.03,NA())</f>
        <v>#N/A</v>
      </c>
      <c r="AS93" s="82" t="e">
        <f>IF(AS$63,53.05,NA())</f>
        <v>#N/A</v>
      </c>
      <c r="AT93" s="82" t="e">
        <f>IF(AT$63,60.4,NA())</f>
        <v>#N/A</v>
      </c>
      <c r="AU93" s="82">
        <f>IF(AU$63,22.92,NA())</f>
        <v>22.92</v>
      </c>
      <c r="AV93" s="82">
        <f>IF(AV$63,20.43,NA())</f>
        <v>20.43</v>
      </c>
      <c r="AW93" s="82" t="e">
        <f>IF(AW$63,67.88,NA())</f>
        <v>#N/A</v>
      </c>
      <c r="AX93" s="82" t="e">
        <f>IF(AX$63,28.06,NA())</f>
        <v>#N/A</v>
      </c>
      <c r="AY93" s="82" t="e">
        <f>IF(AY$63,75.77,NA())</f>
        <v>#N/A</v>
      </c>
    </row>
    <row r="94" spans="1:51" x14ac:dyDescent="0.3">
      <c r="A94" s="81" t="s">
        <v>109</v>
      </c>
      <c r="B94" s="82">
        <f>IF(B$63,144.3,NA())</f>
        <v>144.30000000000001</v>
      </c>
      <c r="C94" s="82">
        <f>IF(C$63,46.91,NA())</f>
        <v>46.91</v>
      </c>
      <c r="D94" s="82">
        <f>IF(D$63,100.11,NA())</f>
        <v>100.11</v>
      </c>
      <c r="E94" s="82">
        <f>IF(E$63,41.44,NA())</f>
        <v>41.44</v>
      </c>
      <c r="F94" s="82">
        <f>IF(F$63,52.8,NA())</f>
        <v>52.8</v>
      </c>
      <c r="G94" s="82">
        <f>IF(G$63,40.47,NA())</f>
        <v>40.47</v>
      </c>
      <c r="H94" s="82" t="e">
        <f>IF(H$63,61.27,NA())</f>
        <v>#N/A</v>
      </c>
      <c r="I94" s="82" t="e">
        <f>IF(I$63,47.16,NA())</f>
        <v>#N/A</v>
      </c>
      <c r="J94" s="82" t="e">
        <f>NA()</f>
        <v>#N/A</v>
      </c>
      <c r="K94" s="82" t="e">
        <f>IF(K$63,47.74,NA())</f>
        <v>#N/A</v>
      </c>
      <c r="L94" s="82" t="e">
        <f>IF(L$63,48.28,NA())</f>
        <v>#N/A</v>
      </c>
      <c r="M94" s="82" t="e">
        <f>IF(M$63,106.15,NA())</f>
        <v>#N/A</v>
      </c>
      <c r="N94" s="82" t="e">
        <f>IF(N$63,56.66,NA())</f>
        <v>#N/A</v>
      </c>
      <c r="O94" s="82">
        <f>IF(O$63,34.43,NA())</f>
        <v>34.43</v>
      </c>
      <c r="P94" s="82" t="e">
        <f>IF(P$63,30.47,NA())</f>
        <v>#N/A</v>
      </c>
      <c r="Q94" s="82" t="e">
        <f>IF(Q$63,103.48,NA())</f>
        <v>#N/A</v>
      </c>
      <c r="R94" s="82">
        <f>IF(R$63,35.81,NA())</f>
        <v>35.81</v>
      </c>
      <c r="S94" s="82" t="e">
        <f>IF(S$63,87.81,NA())</f>
        <v>#N/A</v>
      </c>
      <c r="T94" s="82" t="e">
        <f>IF(T$63,69.37,NA())</f>
        <v>#N/A</v>
      </c>
      <c r="U94" s="82" t="e">
        <f>IF(U$63,105.8,NA())</f>
        <v>#N/A</v>
      </c>
      <c r="V94" s="82">
        <f>IF(V$63,34.22,NA())</f>
        <v>34.22</v>
      </c>
      <c r="W94" s="82" t="e">
        <f>IF(W$63,71.97,NA())</f>
        <v>#N/A</v>
      </c>
      <c r="X94" s="82" t="e">
        <f>IF(X$63,60.37,NA())</f>
        <v>#N/A</v>
      </c>
      <c r="Y94" s="82" t="e">
        <f>IF(Y$63,40.03,NA())</f>
        <v>#N/A</v>
      </c>
      <c r="Z94" s="82" t="e">
        <f>IF(Z$63,57.68,NA())</f>
        <v>#N/A</v>
      </c>
      <c r="AA94" s="82" t="e">
        <f>IF(AA$63,52.38,NA())</f>
        <v>#N/A</v>
      </c>
      <c r="AB94" s="82">
        <f>IF(AB$63,29.01,NA())</f>
        <v>29.01</v>
      </c>
      <c r="AC94" s="82" t="e">
        <f>IF(AC$63,73.86,NA())</f>
        <v>#N/A</v>
      </c>
      <c r="AD94" s="82" t="e">
        <f>IF(AD$63,65.47,NA())</f>
        <v>#N/A</v>
      </c>
      <c r="AE94" s="82" t="e">
        <f>IF(AE$63,63.51,NA())</f>
        <v>#N/A</v>
      </c>
      <c r="AF94" s="82" t="e">
        <f>IF(AF$63,50.22,NA())</f>
        <v>#N/A</v>
      </c>
      <c r="AG94" s="82" t="e">
        <f>IF(AG$63,48.43,NA())</f>
        <v>#N/A</v>
      </c>
      <c r="AH94" s="82" t="e">
        <f>IF(AH$63,32.93,NA())</f>
        <v>#N/A</v>
      </c>
      <c r="AI94" s="82">
        <f>IF(AI$63,31.64,NA())</f>
        <v>31.64</v>
      </c>
      <c r="AJ94" s="82" t="e">
        <f>IF(AJ$63,98.01,NA())</f>
        <v>#N/A</v>
      </c>
      <c r="AK94" s="82" t="e">
        <f>IF(AK$63,69.64,NA())</f>
        <v>#N/A</v>
      </c>
      <c r="AL94" s="82">
        <f>IF(AL$63,38.63,NA())</f>
        <v>38.630000000000003</v>
      </c>
      <c r="AM94" s="82" t="e">
        <f>IF(AM$63,31.69,NA())</f>
        <v>#N/A</v>
      </c>
      <c r="AN94" s="82" t="e">
        <f>IF(AN$63,71.42,NA())</f>
        <v>#N/A</v>
      </c>
      <c r="AO94" s="82" t="e">
        <f>IF(AO$63,43.05,NA())</f>
        <v>#N/A</v>
      </c>
      <c r="AP94" s="82" t="e">
        <f>IF(AP$63,51.9,NA())</f>
        <v>#N/A</v>
      </c>
      <c r="AQ94" s="82" t="e">
        <f>IF(AQ$63,36.27,NA())</f>
        <v>#N/A</v>
      </c>
      <c r="AR94" s="82" t="e">
        <f>IF(AR$63,34.28,NA())</f>
        <v>#N/A</v>
      </c>
      <c r="AS94" s="82" t="e">
        <f>IF(AS$63,53.56,NA())</f>
        <v>#N/A</v>
      </c>
      <c r="AT94" s="82" t="e">
        <f>IF(AT$63,58.76,NA())</f>
        <v>#N/A</v>
      </c>
      <c r="AU94" s="82">
        <f>IF(AU$63,26.74,NA())</f>
        <v>26.74</v>
      </c>
      <c r="AV94" s="82">
        <f>IF(AV$63,20.43,NA())</f>
        <v>20.43</v>
      </c>
      <c r="AW94" s="82" t="e">
        <f>IF(AW$63,68.87,NA())</f>
        <v>#N/A</v>
      </c>
      <c r="AX94" s="82" t="e">
        <f>IF(AX$63,24.66,NA())</f>
        <v>#N/A</v>
      </c>
      <c r="AY94" s="82" t="e">
        <f>IF(AY$63,78.79,NA())</f>
        <v>#N/A</v>
      </c>
    </row>
    <row r="95" spans="1:51" x14ac:dyDescent="0.3">
      <c r="A95" s="81" t="s">
        <v>110</v>
      </c>
      <c r="B95" s="82">
        <f>IF(B$63,138.84,NA())</f>
        <v>138.84</v>
      </c>
      <c r="C95" s="82">
        <f>IF(C$63,48.17,NA())</f>
        <v>48.17</v>
      </c>
      <c r="D95" s="82">
        <f>IF(D$63,99.75,NA())</f>
        <v>99.75</v>
      </c>
      <c r="E95" s="82">
        <f>IF(E$63,41.44,NA())</f>
        <v>41.44</v>
      </c>
      <c r="F95" s="82">
        <f>IF(F$63,55.2,NA())</f>
        <v>55.2</v>
      </c>
      <c r="G95" s="82">
        <f>IF(G$63,41.37,NA())</f>
        <v>41.37</v>
      </c>
      <c r="H95" s="82" t="e">
        <f>IF(H$63,60.78,NA())</f>
        <v>#N/A</v>
      </c>
      <c r="I95" s="82" t="e">
        <f>IF(I$63,47.29,NA())</f>
        <v>#N/A</v>
      </c>
      <c r="J95" s="82" t="e">
        <f>NA()</f>
        <v>#N/A</v>
      </c>
      <c r="K95" s="82" t="e">
        <f>IF(K$63,47.49,NA())</f>
        <v>#N/A</v>
      </c>
      <c r="L95" s="82" t="e">
        <f>IF(L$63,44.72,NA())</f>
        <v>#N/A</v>
      </c>
      <c r="M95" s="82" t="e">
        <f>IF(M$63,105.6,NA())</f>
        <v>#N/A</v>
      </c>
      <c r="N95" s="82" t="e">
        <f>IF(N$63,55.14,NA())</f>
        <v>#N/A</v>
      </c>
      <c r="O95" s="82">
        <f>IF(O$63,32.49,NA())</f>
        <v>32.49</v>
      </c>
      <c r="P95" s="82" t="e">
        <f>IF(P$63,32.23,NA())</f>
        <v>#N/A</v>
      </c>
      <c r="Q95" s="82" t="e">
        <f>IF(Q$63,102.54,NA())</f>
        <v>#N/A</v>
      </c>
      <c r="R95" s="82">
        <f>IF(R$63,35.38,NA())</f>
        <v>35.380000000000003</v>
      </c>
      <c r="S95" s="82" t="e">
        <f>IF(S$63,89.39,NA())</f>
        <v>#N/A</v>
      </c>
      <c r="T95" s="82" t="e">
        <f>IF(T$63,67.73,NA())</f>
        <v>#N/A</v>
      </c>
      <c r="U95" s="82" t="e">
        <f>IF(U$63,105.23,NA())</f>
        <v>#N/A</v>
      </c>
      <c r="V95" s="82">
        <f>IF(V$63,35.97,NA())</f>
        <v>35.97</v>
      </c>
      <c r="W95" s="82" t="e">
        <f>IF(W$63,70.73,NA())</f>
        <v>#N/A</v>
      </c>
      <c r="X95" s="82" t="e">
        <f>IF(X$63,60.3,NA())</f>
        <v>#N/A</v>
      </c>
      <c r="Y95" s="82" t="e">
        <f>IF(Y$63,38.27,NA())</f>
        <v>#N/A</v>
      </c>
      <c r="Z95" s="82" t="e">
        <f>IF(Z$63,59.47,NA())</f>
        <v>#N/A</v>
      </c>
      <c r="AA95" s="82" t="e">
        <f>IF(AA$63,51.7,NA())</f>
        <v>#N/A</v>
      </c>
      <c r="AB95" s="82">
        <f>IF(AB$63,29.01,NA())</f>
        <v>29.01</v>
      </c>
      <c r="AC95" s="82" t="e">
        <f>IF(AC$63,73.14,NA())</f>
        <v>#N/A</v>
      </c>
      <c r="AD95" s="82" t="e">
        <f>IF(AD$63,66.43,NA())</f>
        <v>#N/A</v>
      </c>
      <c r="AE95" s="82" t="e">
        <f>IF(AE$63,63.94,NA())</f>
        <v>#N/A</v>
      </c>
      <c r="AF95" s="82" t="e">
        <f>IF(AF$63,45.66,NA())</f>
        <v>#N/A</v>
      </c>
      <c r="AG95" s="82" t="e">
        <f>IF(AG$63,50.66,NA())</f>
        <v>#N/A</v>
      </c>
      <c r="AH95" s="82" t="e">
        <f>IF(AH$63,32.42,NA())</f>
        <v>#N/A</v>
      </c>
      <c r="AI95" s="82">
        <f>IF(AI$63,30.14,NA())</f>
        <v>30.14</v>
      </c>
      <c r="AJ95" s="82" t="e">
        <f>IF(AJ$63,99.72,NA())</f>
        <v>#N/A</v>
      </c>
      <c r="AK95" s="82" t="e">
        <f>IF(AK$63,70.94,NA())</f>
        <v>#N/A</v>
      </c>
      <c r="AL95" s="82">
        <f>IF(AL$63,39.62,NA())</f>
        <v>39.619999999999997</v>
      </c>
      <c r="AM95" s="82" t="e">
        <f>IF(AM$63,33.07,NA())</f>
        <v>#N/A</v>
      </c>
      <c r="AN95" s="82" t="e">
        <f>IF(AN$63,70.04,NA())</f>
        <v>#N/A</v>
      </c>
      <c r="AO95" s="82" t="e">
        <f>IF(AO$63,42.03,NA())</f>
        <v>#N/A</v>
      </c>
      <c r="AP95" s="82" t="e">
        <f>IF(AP$63,54.49,NA())</f>
        <v>#N/A</v>
      </c>
      <c r="AQ95" s="82" t="e">
        <f>IF(AQ$63,37.06,NA())</f>
        <v>#N/A</v>
      </c>
      <c r="AR95" s="82" t="e">
        <f>IF(AR$63,34.84,NA())</f>
        <v>#N/A</v>
      </c>
      <c r="AS95" s="82" t="e">
        <f>IF(AS$63,54.07,NA())</f>
        <v>#N/A</v>
      </c>
      <c r="AT95" s="82" t="e">
        <f>IF(AT$63,59.42,NA())</f>
        <v>#N/A</v>
      </c>
      <c r="AU95" s="82">
        <f>IF(AU$63,28.65,NA())</f>
        <v>28.65</v>
      </c>
      <c r="AV95" s="82">
        <f>IF(AV$63,20,NA())</f>
        <v>20</v>
      </c>
      <c r="AW95" s="82" t="e">
        <f>IF(AW$63,63.88,NA())</f>
        <v>#N/A</v>
      </c>
      <c r="AX95" s="82" t="e">
        <f>IF(AX$63,28.91,NA())</f>
        <v>#N/A</v>
      </c>
      <c r="AY95" s="82" t="e">
        <f>IF(AY$63,79.39,NA())</f>
        <v>#N/A</v>
      </c>
    </row>
    <row r="96" spans="1:51" x14ac:dyDescent="0.3">
      <c r="A96" s="81" t="s">
        <v>111</v>
      </c>
      <c r="B96" s="82">
        <f>IF(B$63,134.97,NA())</f>
        <v>134.97</v>
      </c>
      <c r="C96" s="82">
        <f>IF(C$63,46.27,NA())</f>
        <v>46.27</v>
      </c>
      <c r="D96" s="82">
        <f>IF(D$63,103.33,NA())</f>
        <v>103.33</v>
      </c>
      <c r="E96" s="82">
        <f>IF(E$63,42.13,NA())</f>
        <v>42.13</v>
      </c>
      <c r="F96" s="82">
        <f>IF(F$63,55.2,NA())</f>
        <v>55.2</v>
      </c>
      <c r="G96" s="82">
        <f>IF(G$63,40.11,NA())</f>
        <v>40.11</v>
      </c>
      <c r="H96" s="82" t="e">
        <f>IF(H$63,59.21,NA())</f>
        <v>#N/A</v>
      </c>
      <c r="I96" s="82" t="e">
        <f>IF(I$63,45.7,NA())</f>
        <v>#N/A</v>
      </c>
      <c r="J96" s="82" t="e">
        <f>NA()</f>
        <v>#N/A</v>
      </c>
      <c r="K96" s="82" t="e">
        <f>IF(K$63,47.62,NA())</f>
        <v>#N/A</v>
      </c>
      <c r="L96" s="82" t="e">
        <f>IF(L$63,43.35,NA())</f>
        <v>#N/A</v>
      </c>
      <c r="M96" s="82" t="e">
        <f>IF(M$63,103.12,NA())</f>
        <v>#N/A</v>
      </c>
      <c r="N96" s="82" t="e">
        <f>IF(N$63,58.92,NA())</f>
        <v>#N/A</v>
      </c>
      <c r="O96" s="82">
        <f>IF(O$63,31.72,NA())</f>
        <v>31.72</v>
      </c>
      <c r="P96" s="82" t="e">
        <f>IF(P$63,33.56,NA())</f>
        <v>#N/A</v>
      </c>
      <c r="Q96" s="82" t="e">
        <f>IF(Q$63,94.07,NA())</f>
        <v>#N/A</v>
      </c>
      <c r="R96" s="82">
        <f>IF(R$63,35.59,NA())</f>
        <v>35.590000000000003</v>
      </c>
      <c r="S96" s="82" t="e">
        <f>IF(S$63,91.56,NA())</f>
        <v>#N/A</v>
      </c>
      <c r="T96" s="82" t="e">
        <f>IF(T$63,63.86,NA())</f>
        <v>#N/A</v>
      </c>
      <c r="U96" s="82" t="e">
        <f>IF(U$63,108.1,NA())</f>
        <v>#N/A</v>
      </c>
      <c r="V96" s="82">
        <f>IF(V$63,36.85,NA())</f>
        <v>36.85</v>
      </c>
      <c r="W96" s="82" t="e">
        <f>IF(W$63,71.69,NA())</f>
        <v>#N/A</v>
      </c>
      <c r="X96" s="82" t="e">
        <f>IF(X$63,61.89,NA())</f>
        <v>#N/A</v>
      </c>
      <c r="Y96" s="82" t="e">
        <f>IF(Y$63,40.62,NA())</f>
        <v>#N/A</v>
      </c>
      <c r="Z96" s="82" t="e">
        <f>IF(Z$63,61.27,NA())</f>
        <v>#N/A</v>
      </c>
      <c r="AA96" s="82" t="e">
        <f>IF(AA$63,54.42,NA())</f>
        <v>#N/A</v>
      </c>
      <c r="AB96" s="82">
        <f>IF(AB$63,29.66,NA())</f>
        <v>29.66</v>
      </c>
      <c r="AC96" s="82" t="e">
        <f>IF(AC$63,75.28,NA())</f>
        <v>#N/A</v>
      </c>
      <c r="AD96" s="82" t="e">
        <f>IF(AD$63,66.43,NA())</f>
        <v>#N/A</v>
      </c>
      <c r="AE96" s="82" t="e">
        <f>IF(AE$63,63.37,NA())</f>
        <v>#N/A</v>
      </c>
      <c r="AF96" s="82" t="e">
        <f>IF(AF$63,43.83,NA())</f>
        <v>#N/A</v>
      </c>
      <c r="AG96" s="82" t="e">
        <f>IF(AG$63,52.15,NA())</f>
        <v>#N/A</v>
      </c>
      <c r="AH96" s="82" t="e">
        <f>IF(AH$63,31.9,NA())</f>
        <v>#N/A</v>
      </c>
      <c r="AI96" s="82">
        <f>IF(AI$63,27.87,NA())</f>
        <v>27.87</v>
      </c>
      <c r="AJ96" s="82" t="e">
        <f>IF(AJ$63,97.58,NA())</f>
        <v>#N/A</v>
      </c>
      <c r="AK96" s="82" t="e">
        <f>IF(AK$63,72.02,NA())</f>
        <v>#N/A</v>
      </c>
      <c r="AL96" s="82">
        <f>IF(AL$63,41.27,NA())</f>
        <v>41.27</v>
      </c>
      <c r="AM96" s="82" t="e">
        <f>IF(AM$63,31.69,NA())</f>
        <v>#N/A</v>
      </c>
      <c r="AN96" s="82" t="e">
        <f>IF(AN$63,72.05,NA())</f>
        <v>#N/A</v>
      </c>
      <c r="AO96" s="82" t="e">
        <f>IF(AO$63,41.94,NA())</f>
        <v>#N/A</v>
      </c>
      <c r="AP96" s="82" t="e">
        <f>IF(AP$63,56.05,NA())</f>
        <v>#N/A</v>
      </c>
      <c r="AQ96" s="82" t="e">
        <f>IF(AQ$63,39.23,NA())</f>
        <v>#N/A</v>
      </c>
      <c r="AR96" s="82" t="e">
        <f>IF(AR$63,35.4,NA())</f>
        <v>#N/A</v>
      </c>
      <c r="AS96" s="82" t="e">
        <f>IF(AS$63,55.26,NA())</f>
        <v>#N/A</v>
      </c>
      <c r="AT96" s="82" t="e">
        <f>IF(AT$63,60.73,NA())</f>
        <v>#N/A</v>
      </c>
      <c r="AU96" s="82">
        <f>IF(AU$63,27.69,NA())</f>
        <v>27.69</v>
      </c>
      <c r="AV96" s="82">
        <f>IF(AV$63,22.13,NA())</f>
        <v>22.13</v>
      </c>
      <c r="AW96" s="82" t="e">
        <f>IF(AW$63,60.89,NA())</f>
        <v>#N/A</v>
      </c>
      <c r="AX96" s="82" t="e">
        <f>IF(AX$63,26.36,NA())</f>
        <v>#N/A</v>
      </c>
      <c r="AY96" s="82" t="e">
        <f>IF(AY$63,76.37,NA())</f>
        <v>#N/A</v>
      </c>
    </row>
    <row r="97" spans="1:51" x14ac:dyDescent="0.3">
      <c r="A97" s="81" t="s">
        <v>112</v>
      </c>
      <c r="B97" s="82">
        <f>IF(B$63,135.67,NA())</f>
        <v>135.66999999999999</v>
      </c>
      <c r="C97" s="82">
        <f>IF(C$63,48.17,NA())</f>
        <v>48.17</v>
      </c>
      <c r="D97" s="82">
        <f>IF(D$63,105.83,NA())</f>
        <v>105.83</v>
      </c>
      <c r="E97" s="82">
        <f>IF(E$63,40.4,NA())</f>
        <v>40.4</v>
      </c>
      <c r="F97" s="82">
        <f>IF(F$63,52.8,NA())</f>
        <v>52.8</v>
      </c>
      <c r="G97" s="82">
        <f>IF(G$63,39.39,NA())</f>
        <v>39.39</v>
      </c>
      <c r="H97" s="82" t="e">
        <f>IF(H$63,58.97,NA())</f>
        <v>#N/A</v>
      </c>
      <c r="I97" s="82" t="e">
        <f>IF(I$63,46.1,NA())</f>
        <v>#N/A</v>
      </c>
      <c r="J97" s="82" t="e">
        <f>NA()</f>
        <v>#N/A</v>
      </c>
      <c r="K97" s="82" t="e">
        <f>IF(K$63,49.25,NA())</f>
        <v>#N/A</v>
      </c>
      <c r="L97" s="82" t="e">
        <f>IF(L$63,39.92,NA())</f>
        <v>#N/A</v>
      </c>
      <c r="M97" s="82" t="e">
        <f>IF(M$63,100.91,NA())</f>
        <v>#N/A</v>
      </c>
      <c r="N97" s="82" t="e">
        <f>IF(N$63,63.45,NA())</f>
        <v>#N/A</v>
      </c>
      <c r="O97" s="82">
        <f>IF(O$63,29.01,NA())</f>
        <v>29.01</v>
      </c>
      <c r="P97" s="82" t="e">
        <f>IF(P$63,33.56,NA())</f>
        <v>#N/A</v>
      </c>
      <c r="Q97" s="82" t="e">
        <f>IF(Q$63,89.37,NA())</f>
        <v>#N/A</v>
      </c>
      <c r="R97" s="82">
        <f>IF(R$63,33.36,NA())</f>
        <v>33.36</v>
      </c>
      <c r="S97" s="82" t="e">
        <f>IF(S$63,90.77,NA())</f>
        <v>#N/A</v>
      </c>
      <c r="T97" s="82" t="e">
        <f>IF(T$63,61.18,NA())</f>
        <v>#N/A</v>
      </c>
      <c r="U97" s="82" t="e">
        <f>IF(U$63,101.78,NA())</f>
        <v>#N/A</v>
      </c>
      <c r="V97" s="82">
        <f>IF(V$63,35.97,NA())</f>
        <v>35.97</v>
      </c>
      <c r="W97" s="82" t="e">
        <f>IF(W$63,69.77,NA())</f>
        <v>#N/A</v>
      </c>
      <c r="X97" s="82" t="e">
        <f>IF(X$63,62.47,NA())</f>
        <v>#N/A</v>
      </c>
      <c r="Y97" s="82" t="e">
        <f>IF(Y$63,43.56,NA())</f>
        <v>#N/A</v>
      </c>
      <c r="Z97" s="82" t="e">
        <f>IF(Z$63,62.7,NA())</f>
        <v>#N/A</v>
      </c>
      <c r="AA97" s="82" t="e">
        <f>IF(AA$63,51.7,NA())</f>
        <v>#N/A</v>
      </c>
      <c r="AB97" s="82">
        <f>IF(AB$63,32.13,NA())</f>
        <v>32.130000000000003</v>
      </c>
      <c r="AC97" s="82" t="e">
        <f>IF(AC$63,74.26,NA())</f>
        <v>#N/A</v>
      </c>
      <c r="AD97" s="82" t="e">
        <f>IF(AD$63,69.32,NA())</f>
        <v>#N/A</v>
      </c>
      <c r="AE97" s="82" t="e">
        <f>IF(AE$63,64.36,NA())</f>
        <v>#N/A</v>
      </c>
      <c r="AF97" s="82" t="e">
        <f>IF(AF$63,40.18,NA())</f>
        <v>#N/A</v>
      </c>
      <c r="AG97" s="82" t="e">
        <f>IF(AG$63,52.9,NA())</f>
        <v>#N/A</v>
      </c>
      <c r="AH97" s="82" t="e">
        <f>IF(AH$63,30.87,NA())</f>
        <v>#N/A</v>
      </c>
      <c r="AI97" s="82">
        <f>IF(AI$63,28.63,NA())</f>
        <v>28.63</v>
      </c>
      <c r="AJ97" s="82" t="e">
        <f>IF(AJ$63,99.29,NA())</f>
        <v>#N/A</v>
      </c>
      <c r="AK97" s="82" t="e">
        <f>IF(AK$63,72.45,NA())</f>
        <v>#N/A</v>
      </c>
      <c r="AL97" s="82">
        <f>IF(AL$63,44.9,NA())</f>
        <v>44.9</v>
      </c>
      <c r="AM97" s="82" t="e">
        <f>IF(AM$63,31.69,NA())</f>
        <v>#N/A</v>
      </c>
      <c r="AN97" s="82" t="e">
        <f>IF(AN$63,70.16,NA())</f>
        <v>#N/A</v>
      </c>
      <c r="AO97" s="82" t="e">
        <f>IF(AO$63,42.59,NA())</f>
        <v>#N/A</v>
      </c>
      <c r="AP97" s="82" t="e">
        <f>IF(AP$63,55.53,NA())</f>
        <v>#N/A</v>
      </c>
      <c r="AQ97" s="82" t="e">
        <f>IF(AQ$63,37.85,NA())</f>
        <v>#N/A</v>
      </c>
      <c r="AR97" s="82" t="e">
        <f>IF(AR$63,36.53,NA())</f>
        <v>#N/A</v>
      </c>
      <c r="AS97" s="82" t="e">
        <f>IF(AS$63,55.43,NA())</f>
        <v>#N/A</v>
      </c>
      <c r="AT97" s="82" t="e">
        <f>IF(AT$63,60.18,NA())</f>
        <v>#N/A</v>
      </c>
      <c r="AU97" s="82">
        <f>IF(AU$63,29.6,NA())</f>
        <v>29.6</v>
      </c>
      <c r="AV97" s="82">
        <f>IF(AV$63,22.98,NA())</f>
        <v>22.98</v>
      </c>
      <c r="AW97" s="82" t="e">
        <f>IF(AW$63,65.88,NA())</f>
        <v>#N/A</v>
      </c>
      <c r="AX97" s="82" t="e">
        <f>IF(AX$63,25.51,NA())</f>
        <v>#N/A</v>
      </c>
      <c r="AY97" s="82" t="e">
        <f>IF(AY$63,75.47,NA())</f>
        <v>#N/A</v>
      </c>
    </row>
    <row r="98" spans="1:51" x14ac:dyDescent="0.3">
      <c r="A98" s="81" t="s">
        <v>113</v>
      </c>
      <c r="B98" s="82">
        <f>IF(B$63,132.86,NA())</f>
        <v>132.86000000000001</v>
      </c>
      <c r="C98" s="82">
        <f>IF(C$63,51.98,NA())</f>
        <v>51.98</v>
      </c>
      <c r="D98" s="82">
        <f>IF(D$63,110.12,NA())</f>
        <v>110.12</v>
      </c>
      <c r="E98" s="82">
        <f>IF(E$63,40.4,NA())</f>
        <v>40.4</v>
      </c>
      <c r="F98" s="82">
        <f>IF(F$63,54.72,NA())</f>
        <v>54.72</v>
      </c>
      <c r="G98" s="82">
        <f>IF(G$63,38.31,NA())</f>
        <v>38.31</v>
      </c>
      <c r="H98" s="82" t="e">
        <f>IF(H$63,58.13,NA())</f>
        <v>#N/A</v>
      </c>
      <c r="I98" s="82" t="e">
        <f>IF(I$63,45.17,NA())</f>
        <v>#N/A</v>
      </c>
      <c r="J98" s="82" t="e">
        <f>NA()</f>
        <v>#N/A</v>
      </c>
      <c r="K98" s="82" t="e">
        <f>IF(K$63,48.75,NA())</f>
        <v>#N/A</v>
      </c>
      <c r="L98" s="82" t="e">
        <f>IF(L$63,39.64,NA())</f>
        <v>#N/A</v>
      </c>
      <c r="M98" s="82" t="e">
        <f>IF(M$63,98.43,NA())</f>
        <v>#N/A</v>
      </c>
      <c r="N98" s="82" t="e">
        <f>IF(N$63,64.21,NA())</f>
        <v>#N/A</v>
      </c>
      <c r="O98" s="82">
        <f>IF(O$63,27.08,NA())</f>
        <v>27.08</v>
      </c>
      <c r="P98" s="82" t="e">
        <f>IF(P$63,34,NA())</f>
        <v>#N/A</v>
      </c>
      <c r="Q98" s="82" t="e">
        <f>IF(Q$63,91.25,NA())</f>
        <v>#N/A</v>
      </c>
      <c r="R98" s="82">
        <f>IF(R$63,32.41,NA())</f>
        <v>32.409999999999997</v>
      </c>
      <c r="S98" s="82" t="e">
        <f>IF(S$63,93.34,NA())</f>
        <v>#N/A</v>
      </c>
      <c r="T98" s="82" t="e">
        <f>IF(T$63,60.29,NA())</f>
        <v>#N/A</v>
      </c>
      <c r="U98" s="82" t="e">
        <f>IF(U$63,100.63,NA())</f>
        <v>#N/A</v>
      </c>
      <c r="V98" s="82">
        <f>IF(V$63,35.97,NA())</f>
        <v>35.97</v>
      </c>
      <c r="W98" s="82" t="e">
        <f>IF(W$63,69.91,NA())</f>
        <v>#N/A</v>
      </c>
      <c r="X98" s="82" t="e">
        <f>IF(X$63,63.41,NA())</f>
        <v>#N/A</v>
      </c>
      <c r="Y98" s="82" t="e">
        <f>IF(Y$63,45.92,NA())</f>
        <v>#N/A</v>
      </c>
      <c r="Z98" s="82" t="e">
        <f>IF(Z$63,65.21,NA())</f>
        <v>#N/A</v>
      </c>
      <c r="AA98" s="82" t="e">
        <f>IF(AA$63,51.7,NA())</f>
        <v>#N/A</v>
      </c>
      <c r="AB98" s="82">
        <f>IF(AB$63,33.16,NA())</f>
        <v>33.159999999999997</v>
      </c>
      <c r="AC98" s="82" t="e">
        <f>IF(AC$63,72.53,NA())</f>
        <v>#N/A</v>
      </c>
      <c r="AD98" s="82" t="e">
        <f>IF(AD$63,71.25,NA())</f>
        <v>#N/A</v>
      </c>
      <c r="AE98" s="82" t="e">
        <f>IF(AE$63,62.66,NA())</f>
        <v>#N/A</v>
      </c>
      <c r="AF98" s="82" t="e">
        <f>IF(AF$63,39.26,NA())</f>
        <v>#N/A</v>
      </c>
      <c r="AG98" s="82" t="e">
        <f>IF(AG$63,52.9,NA())</f>
        <v>#N/A</v>
      </c>
      <c r="AH98" s="82" t="e">
        <f>IF(AH$63,32.93,NA())</f>
        <v>#N/A</v>
      </c>
      <c r="AI98" s="82">
        <f>IF(AI$63,27.12,NA())</f>
        <v>27.12</v>
      </c>
      <c r="AJ98" s="82" t="e">
        <f>IF(AJ$63,101.43,NA())</f>
        <v>#N/A</v>
      </c>
      <c r="AK98" s="82" t="e">
        <f>IF(AK$63,71.16,NA())</f>
        <v>#N/A</v>
      </c>
      <c r="AL98" s="82">
        <f>IF(AL$63,42.92,NA())</f>
        <v>42.92</v>
      </c>
      <c r="AM98" s="82" t="e">
        <f>IF(AM$63,31.69,NA())</f>
        <v>#N/A</v>
      </c>
      <c r="AN98" s="82" t="e">
        <f>IF(AN$63,68.9,NA())</f>
        <v>#N/A</v>
      </c>
      <c r="AO98" s="82" t="e">
        <f>IF(AO$63,42.96,NA())</f>
        <v>#N/A</v>
      </c>
      <c r="AP98" s="82" t="e">
        <f>IF(AP$63,59.68,NA())</f>
        <v>#N/A</v>
      </c>
      <c r="AQ98" s="82" t="e">
        <f>IF(AQ$63,40.02,NA())</f>
        <v>#N/A</v>
      </c>
      <c r="AR98" s="82" t="e">
        <f>IF(AR$63,35.97,NA())</f>
        <v>#N/A</v>
      </c>
      <c r="AS98" s="82" t="e">
        <f>IF(AS$63,55.26,NA())</f>
        <v>#N/A</v>
      </c>
      <c r="AT98" s="82" t="e">
        <f>IF(AT$63,60.51,NA())</f>
        <v>#N/A</v>
      </c>
      <c r="AU98" s="82">
        <f>IF(AU$63,30.56,NA())</f>
        <v>30.56</v>
      </c>
      <c r="AV98" s="82">
        <f>IF(AV$63,23.83,NA())</f>
        <v>23.83</v>
      </c>
      <c r="AW98" s="82" t="e">
        <f>IF(AW$63,63.88,NA())</f>
        <v>#N/A</v>
      </c>
      <c r="AX98" s="82" t="e">
        <f>IF(AX$63,22.11,NA())</f>
        <v>#N/A</v>
      </c>
      <c r="AY98" s="82" t="e">
        <f>IF(AY$63,78.79,NA())</f>
        <v>#N/A</v>
      </c>
    </row>
    <row r="99" spans="1:51" x14ac:dyDescent="0.3">
      <c r="A99" s="81" t="s">
        <v>114</v>
      </c>
      <c r="B99" s="82">
        <f>IF(B$63,133.21,NA())</f>
        <v>133.21</v>
      </c>
      <c r="C99" s="82">
        <f>IF(C$63,50.71,NA())</f>
        <v>50.71</v>
      </c>
      <c r="D99" s="82">
        <f>IF(D$63,111.19,NA())</f>
        <v>111.19</v>
      </c>
      <c r="E99" s="82">
        <f>IF(E$63,39.71,NA())</f>
        <v>39.71</v>
      </c>
      <c r="F99" s="82">
        <f>IF(F$63,56.64,NA())</f>
        <v>56.64</v>
      </c>
      <c r="G99" s="82">
        <f>IF(G$63,38.49,NA())</f>
        <v>38.49</v>
      </c>
      <c r="H99" s="82" t="e">
        <f>IF(H$63,56.55,NA())</f>
        <v>#N/A</v>
      </c>
      <c r="I99" s="82" t="e">
        <f>IF(I$63,44.9,NA())</f>
        <v>#N/A</v>
      </c>
      <c r="J99" s="82" t="e">
        <f>NA()</f>
        <v>#N/A</v>
      </c>
      <c r="K99" s="82" t="e">
        <f>IF(K$63,48.88,NA())</f>
        <v>#N/A</v>
      </c>
      <c r="L99" s="82" t="e">
        <f>IF(L$63,40.19,NA())</f>
        <v>#N/A</v>
      </c>
      <c r="M99" s="82" t="e">
        <f>IF(M$63,98.43,NA())</f>
        <v>#N/A</v>
      </c>
      <c r="N99" s="82" t="e">
        <f>IF(N$63,62.7,NA())</f>
        <v>#N/A</v>
      </c>
      <c r="O99" s="82">
        <f>IF(O$63,28.62,NA())</f>
        <v>28.62</v>
      </c>
      <c r="P99" s="82" t="e">
        <f>IF(P$63,35.32,NA())</f>
        <v>#N/A</v>
      </c>
      <c r="Q99" s="82" t="e">
        <f>IF(Q$63,92.19,NA())</f>
        <v>#N/A</v>
      </c>
      <c r="R99" s="82">
        <f>IF(R$63,33.89,NA())</f>
        <v>33.89</v>
      </c>
      <c r="S99" s="82" t="e">
        <f>IF(S$63,91.37,NA())</f>
        <v>#N/A</v>
      </c>
      <c r="T99" s="82" t="e">
        <f>IF(T$63,62.08,NA())</f>
        <v>#N/A</v>
      </c>
      <c r="U99" s="82" t="e">
        <f>IF(U$63,105.23,NA())</f>
        <v>#N/A</v>
      </c>
      <c r="V99" s="82">
        <f>IF(V$63,34.22,NA())</f>
        <v>34.22</v>
      </c>
      <c r="W99" s="82" t="e">
        <f>IF(W$63,69.36,NA())</f>
        <v>#N/A</v>
      </c>
      <c r="X99" s="82" t="e">
        <f>IF(X$63,62.54,NA())</f>
        <v>#N/A</v>
      </c>
      <c r="Y99" s="82" t="e">
        <f>IF(Y$63,49.45,NA())</f>
        <v>#N/A</v>
      </c>
      <c r="Z99" s="82" t="e">
        <f>IF(Z$63,64.13,NA())</f>
        <v>#N/A</v>
      </c>
      <c r="AA99" s="82" t="e">
        <f>IF(AA$63,47.62,NA())</f>
        <v>#N/A</v>
      </c>
      <c r="AB99" s="82">
        <f>IF(AB$63,34.4,NA())</f>
        <v>34.4</v>
      </c>
      <c r="AC99" s="82" t="e">
        <f>IF(AC$63,73.25,NA())</f>
        <v>#N/A</v>
      </c>
      <c r="AD99" s="82" t="e">
        <f>IF(AD$63,70.28,NA())</f>
        <v>#N/A</v>
      </c>
      <c r="AE99" s="82" t="e">
        <f>IF(AE$63,65.22,NA())</f>
        <v>#N/A</v>
      </c>
      <c r="AF99" s="82" t="e">
        <f>IF(AF$63,43.83,NA())</f>
        <v>#N/A</v>
      </c>
      <c r="AG99" s="82" t="e">
        <f>IF(AG$63,56.62,NA())</f>
        <v>#N/A</v>
      </c>
      <c r="AH99" s="82" t="e">
        <f>IF(AH$63,33.96,NA())</f>
        <v>#N/A</v>
      </c>
      <c r="AI99" s="82">
        <f>IF(AI$63,28.63,NA())</f>
        <v>28.63</v>
      </c>
      <c r="AJ99" s="82" t="e">
        <f>IF(AJ$63,99.29,NA())</f>
        <v>#N/A</v>
      </c>
      <c r="AK99" s="82" t="e">
        <f>IF(AK$63,71.26,NA())</f>
        <v>#N/A</v>
      </c>
      <c r="AL99" s="82">
        <f>IF(AL$63,41.93,NA())</f>
        <v>41.93</v>
      </c>
      <c r="AM99" s="82" t="e">
        <f>IF(AM$63,28.93,NA())</f>
        <v>#N/A</v>
      </c>
      <c r="AN99" s="82" t="e">
        <f>IF(AN$63,67.64,NA())</f>
        <v>#N/A</v>
      </c>
      <c r="AO99" s="82" t="e">
        <f>IF(AO$63,42.4,NA())</f>
        <v>#N/A</v>
      </c>
      <c r="AP99" s="82" t="e">
        <f>IF(AP$63,55.01,NA())</f>
        <v>#N/A</v>
      </c>
      <c r="AQ99" s="82" t="e">
        <f>IF(AQ$63,41.79,NA())</f>
        <v>#N/A</v>
      </c>
      <c r="AR99" s="82" t="e">
        <f>IF(AR$63,36.53,NA())</f>
        <v>#N/A</v>
      </c>
      <c r="AS99" s="82" t="e">
        <f>IF(AS$63,55.26,NA())</f>
        <v>#N/A</v>
      </c>
      <c r="AT99" s="82" t="e">
        <f>IF(AT$63,62.38,NA())</f>
        <v>#N/A</v>
      </c>
      <c r="AU99" s="82">
        <f>IF(AU$63,34.38,NA())</f>
        <v>34.380000000000003</v>
      </c>
      <c r="AV99" s="82">
        <f>IF(AV$63,26.81,NA())</f>
        <v>26.81</v>
      </c>
      <c r="AW99" s="82" t="e">
        <f>IF(AW$63,63.88,NA())</f>
        <v>#N/A</v>
      </c>
      <c r="AX99" s="82" t="e">
        <f>IF(AX$63,21.26,NA())</f>
        <v>#N/A</v>
      </c>
      <c r="AY99" s="82" t="e">
        <f>IF(AY$63,77.88,NA())</f>
        <v>#N/A</v>
      </c>
    </row>
    <row r="100" spans="1:51" x14ac:dyDescent="0.3">
      <c r="A100" s="81" t="s">
        <v>115</v>
      </c>
      <c r="B100" s="82">
        <f>IF(B$63,138.14,NA())</f>
        <v>138.13999999999999</v>
      </c>
      <c r="C100" s="82">
        <f>IF(C$63,50.71,NA())</f>
        <v>50.71</v>
      </c>
      <c r="D100" s="82">
        <f>IF(D$63,110.84,NA())</f>
        <v>110.84</v>
      </c>
      <c r="E100" s="82">
        <f>IF(E$63,40.06,NA())</f>
        <v>40.06</v>
      </c>
      <c r="F100" s="82">
        <f>IF(F$63,55.2,NA())</f>
        <v>55.2</v>
      </c>
      <c r="G100" s="82">
        <f>IF(G$63,38.49,NA())</f>
        <v>38.49</v>
      </c>
      <c r="H100" s="82" t="e">
        <f>IF(H$63,55.71,NA())</f>
        <v>#N/A</v>
      </c>
      <c r="I100" s="82" t="e">
        <f>IF(I$63,47.42,NA())</f>
        <v>#N/A</v>
      </c>
      <c r="J100" s="82" t="e">
        <f>NA()</f>
        <v>#N/A</v>
      </c>
      <c r="K100" s="82" t="e">
        <f>IF(K$63,50.89,NA())</f>
        <v>#N/A</v>
      </c>
      <c r="L100" s="82" t="e">
        <f>IF(L$63,40.74,NA())</f>
        <v>#N/A</v>
      </c>
      <c r="M100" s="82" t="e">
        <f>IF(M$63,97.05,NA())</f>
        <v>#N/A</v>
      </c>
      <c r="N100" s="82" t="e">
        <f>IF(N$63,64.21,NA())</f>
        <v>#N/A</v>
      </c>
      <c r="O100" s="82">
        <f>IF(O$63,28.62,NA())</f>
        <v>28.62</v>
      </c>
      <c r="P100" s="82" t="e">
        <f>IF(P$63,35.76,NA())</f>
        <v>#N/A</v>
      </c>
      <c r="Q100" s="82" t="e">
        <f>IF(Q$63,93.13,NA())</f>
        <v>#N/A</v>
      </c>
      <c r="R100" s="82">
        <f>IF(R$63,34.74,NA())</f>
        <v>34.74</v>
      </c>
      <c r="S100" s="82" t="e">
        <f>IF(S$63,90.77,NA())</f>
        <v>#N/A</v>
      </c>
      <c r="T100" s="82" t="e">
        <f>IF(T$63,64.16,NA())</f>
        <v>#N/A</v>
      </c>
      <c r="U100" s="82" t="e">
        <f>IF(U$63,102.35,NA())</f>
        <v>#N/A</v>
      </c>
      <c r="V100" s="82">
        <f>IF(V$63,29.83,NA())</f>
        <v>29.83</v>
      </c>
      <c r="W100" s="82" t="e">
        <f>IF(W$63,70.87,NA())</f>
        <v>#N/A</v>
      </c>
      <c r="X100" s="82" t="e">
        <f>IF(X$63,62.18,NA())</f>
        <v>#N/A</v>
      </c>
      <c r="Y100" s="82" t="e">
        <f>IF(Y$63,48.86,NA())</f>
        <v>#N/A</v>
      </c>
      <c r="Z100" s="82" t="e">
        <f>IF(Z$63,67.36,NA())</f>
        <v>#N/A</v>
      </c>
      <c r="AA100" s="82" t="e">
        <f>IF(AA$63,48.98,NA())</f>
        <v>#N/A</v>
      </c>
      <c r="AB100" s="82">
        <f>IF(AB$63,36.49,NA())</f>
        <v>36.49</v>
      </c>
      <c r="AC100" s="82" t="e">
        <f>IF(AC$63,71.21,NA())</f>
        <v>#N/A</v>
      </c>
      <c r="AD100" s="82" t="e">
        <f>IF(AD$63,68.36,NA())</f>
        <v>#N/A</v>
      </c>
      <c r="AE100" s="82" t="e">
        <f>IF(AE$63,65.08,NA())</f>
        <v>#N/A</v>
      </c>
      <c r="AF100" s="82" t="e">
        <f>IF(AF$63,44.74,NA())</f>
        <v>#N/A</v>
      </c>
      <c r="AG100" s="82" t="e">
        <f>IF(AG$63,58.86,NA())</f>
        <v>#N/A</v>
      </c>
      <c r="AH100" s="82" t="e">
        <f>IF(AH$63,34.99,NA())</f>
        <v>#N/A</v>
      </c>
      <c r="AI100" s="82">
        <f>IF(AI$63,27.87,NA())</f>
        <v>27.87</v>
      </c>
      <c r="AJ100" s="82" t="e">
        <f>IF(AJ$63,94.58,NA())</f>
        <v>#N/A</v>
      </c>
      <c r="AK100" s="82" t="e">
        <f>IF(AK$63,70.07,NA())</f>
        <v>#N/A</v>
      </c>
      <c r="AL100" s="82">
        <f>IF(AL$63,41.27,NA())</f>
        <v>41.27</v>
      </c>
      <c r="AM100" s="82" t="e">
        <f>IF(AM$63,28.93,NA())</f>
        <v>#N/A</v>
      </c>
      <c r="AN100" s="82" t="e">
        <f>IF(AN$63,68.52,NA())</f>
        <v>#N/A</v>
      </c>
      <c r="AO100" s="82" t="e">
        <f>IF(AO$63,43.05,NA())</f>
        <v>#N/A</v>
      </c>
      <c r="AP100" s="82" t="e">
        <f>IF(AP$63,50.86,NA())</f>
        <v>#N/A</v>
      </c>
      <c r="AQ100" s="82" t="e">
        <f>IF(AQ$63,42.78,NA())</f>
        <v>#N/A</v>
      </c>
      <c r="AR100" s="82" t="e">
        <f>IF(AR$63,37.09,NA())</f>
        <v>#N/A</v>
      </c>
      <c r="AS100" s="82" t="e">
        <f>IF(AS$63,54.75,NA())</f>
        <v>#N/A</v>
      </c>
      <c r="AT100" s="82" t="e">
        <f>IF(AT$63,62.93,NA())</f>
        <v>#N/A</v>
      </c>
      <c r="AU100" s="82">
        <f>IF(AU$63,35.33,NA())</f>
        <v>35.33</v>
      </c>
      <c r="AV100" s="82">
        <f>IF(AV$63,29.37,NA())</f>
        <v>29.37</v>
      </c>
      <c r="AW100" s="82" t="e">
        <f>IF(AW$63,68.87,NA())</f>
        <v>#N/A</v>
      </c>
      <c r="AX100" s="82" t="e">
        <f>IF(AX$63,20.41,NA())</f>
        <v>#N/A</v>
      </c>
      <c r="AY100" s="82" t="e">
        <f>IF(AY$63,75.77,NA())</f>
        <v>#N/A</v>
      </c>
    </row>
    <row r="101" spans="1:51" x14ac:dyDescent="0.3">
      <c r="A101" s="81" t="s">
        <v>116</v>
      </c>
      <c r="B101" s="82">
        <f>IF(B$63,138.49,NA())</f>
        <v>138.49</v>
      </c>
      <c r="C101" s="82">
        <f>IF(C$63,48.17,NA())</f>
        <v>48.17</v>
      </c>
      <c r="D101" s="82">
        <f>IF(D$63,111.19,NA())</f>
        <v>111.19</v>
      </c>
      <c r="E101" s="82">
        <f>IF(E$63,44.2,NA())</f>
        <v>44.2</v>
      </c>
      <c r="F101" s="82">
        <f>IF(F$63,53.28,NA())</f>
        <v>53.28</v>
      </c>
      <c r="G101" s="82">
        <f>IF(G$63,38.85,NA())</f>
        <v>38.85</v>
      </c>
      <c r="H101" s="82" t="e">
        <f>IF(H$63,57.4,NA())</f>
        <v>#N/A</v>
      </c>
      <c r="I101" s="82" t="e">
        <f>IF(I$63,49.55,NA())</f>
        <v>#N/A</v>
      </c>
      <c r="J101" s="82" t="e">
        <f>NA()</f>
        <v>#N/A</v>
      </c>
      <c r="K101" s="82" t="e">
        <f>IF(K$63,53.78,NA())</f>
        <v>#N/A</v>
      </c>
      <c r="L101" s="82" t="e">
        <f>IF(L$63,41.01,NA())</f>
        <v>#N/A</v>
      </c>
      <c r="M101" s="82" t="e">
        <f>IF(M$63,98.98,NA())</f>
        <v>#N/A</v>
      </c>
      <c r="N101" s="82" t="e">
        <f>IF(N$63,68.74,NA())</f>
        <v>#N/A</v>
      </c>
      <c r="O101" s="82">
        <f>IF(O$63,31.33,NA())</f>
        <v>31.33</v>
      </c>
      <c r="P101" s="82" t="e">
        <f>IF(P$63,32.67,NA())</f>
        <v>#N/A</v>
      </c>
      <c r="Q101" s="82" t="e">
        <f>IF(Q$63,89.37,NA())</f>
        <v>#N/A</v>
      </c>
      <c r="R101" s="82">
        <f>IF(R$63,37.19,NA())</f>
        <v>37.19</v>
      </c>
      <c r="S101" s="82" t="e">
        <f>IF(S$63,90.77,NA())</f>
        <v>#N/A</v>
      </c>
      <c r="T101" s="82" t="e">
        <f>IF(T$63,63.57,NA())</f>
        <v>#N/A</v>
      </c>
      <c r="U101" s="82" t="e">
        <f>IF(U$63,100.63,NA())</f>
        <v>#N/A</v>
      </c>
      <c r="V101" s="82">
        <f>IF(V$63,34.22,NA())</f>
        <v>34.22</v>
      </c>
      <c r="W101" s="82" t="e">
        <f>IF(W$63,73.89,NA())</f>
        <v>#N/A</v>
      </c>
      <c r="X101" s="82" t="e">
        <f>IF(X$63,63.05,NA())</f>
        <v>#N/A</v>
      </c>
      <c r="Y101" s="82" t="e">
        <f>IF(Y$63,46.51,NA())</f>
        <v>#N/A</v>
      </c>
      <c r="Z101" s="82" t="e">
        <f>IF(Z$63,70.22,NA())</f>
        <v>#N/A</v>
      </c>
      <c r="AA101" s="82" t="e">
        <f>IF(AA$63,52.38,NA())</f>
        <v>#N/A</v>
      </c>
      <c r="AB101" s="82">
        <f>IF(AB$63,39.1,NA())</f>
        <v>39.1</v>
      </c>
      <c r="AC101" s="82" t="e">
        <f>IF(AC$63,71.21,NA())</f>
        <v>#N/A</v>
      </c>
      <c r="AD101" s="82" t="e">
        <f>IF(AD$63,69.32,NA())</f>
        <v>#N/A</v>
      </c>
      <c r="AE101" s="82" t="e">
        <f>IF(AE$63,64.22,NA())</f>
        <v>#N/A</v>
      </c>
      <c r="AF101" s="82" t="e">
        <f>IF(AF$63,42.92,NA())</f>
        <v>#N/A</v>
      </c>
      <c r="AG101" s="82" t="e">
        <f>IF(AG$63,60.35,NA())</f>
        <v>#N/A</v>
      </c>
      <c r="AH101" s="82" t="e">
        <f>IF(AH$63,33.45,NA())</f>
        <v>#N/A</v>
      </c>
      <c r="AI101" s="82">
        <f>IF(AI$63,29.38,NA())</f>
        <v>29.38</v>
      </c>
      <c r="AJ101" s="82" t="e">
        <f>IF(AJ$63,93.73,NA())</f>
        <v>#N/A</v>
      </c>
      <c r="AK101" s="82" t="e">
        <f>IF(AK$63,69.86,NA())</f>
        <v>#N/A</v>
      </c>
      <c r="AL101" s="82">
        <f>IF(AL$63,42.26,NA())</f>
        <v>42.26</v>
      </c>
      <c r="AM101" s="82" t="e">
        <f>IF(AM$63,26.18,NA())</f>
        <v>#N/A</v>
      </c>
      <c r="AN101" s="82" t="e">
        <f>IF(AN$63,66,NA())</f>
        <v>#N/A</v>
      </c>
      <c r="AO101" s="82" t="e">
        <f>IF(AO$63,42.68,NA())</f>
        <v>#N/A</v>
      </c>
      <c r="AP101" s="82" t="e">
        <f>IF(AP$63,49.3,NA())</f>
        <v>#N/A</v>
      </c>
      <c r="AQ101" s="82" t="e">
        <f>IF(AQ$63,41.4,NA())</f>
        <v>#N/A</v>
      </c>
      <c r="AR101" s="82" t="e">
        <f>IF(AR$63,35.97,NA())</f>
        <v>#N/A</v>
      </c>
      <c r="AS101" s="82" t="e">
        <f>IF(AS$63,55.09,NA())</f>
        <v>#N/A</v>
      </c>
      <c r="AT101" s="82" t="e">
        <f>IF(AT$63,64.25,NA())</f>
        <v>#N/A</v>
      </c>
      <c r="AU101" s="82">
        <f>IF(AU$63,34.38,NA())</f>
        <v>34.380000000000003</v>
      </c>
      <c r="AV101" s="82">
        <f>IF(AV$63,31.5,NA())</f>
        <v>31.5</v>
      </c>
      <c r="AW101" s="82" t="e">
        <f>IF(AW$63,69.87,NA())</f>
        <v>#N/A</v>
      </c>
      <c r="AX101" s="82" t="e">
        <f>IF(AX$63,24.66,NA())</f>
        <v>#N/A</v>
      </c>
      <c r="AY101" s="82" t="e">
        <f>IF(AY$63,73.35,NA())</f>
        <v>#N/A</v>
      </c>
    </row>
    <row r="102" spans="1:51" x14ac:dyDescent="0.3">
      <c r="A102" s="81" t="s">
        <v>117</v>
      </c>
      <c r="B102" s="82">
        <f>IF(B$63,136.38,NA())</f>
        <v>136.38</v>
      </c>
      <c r="C102" s="82">
        <f>IF(C$63,51.98,NA())</f>
        <v>51.98</v>
      </c>
      <c r="D102" s="82">
        <f>IF(D$63,113.34,NA())</f>
        <v>113.34</v>
      </c>
      <c r="E102" s="82">
        <f>IF(E$63,47.65,NA())</f>
        <v>47.65</v>
      </c>
      <c r="F102" s="82">
        <f>IF(F$63,56.64,NA())</f>
        <v>56.64</v>
      </c>
      <c r="G102" s="82">
        <f>IF(G$63,39.57,NA())</f>
        <v>39.57</v>
      </c>
      <c r="H102" s="82" t="e">
        <f>IF(H$63,60.54,NA())</f>
        <v>#N/A</v>
      </c>
      <c r="I102" s="82" t="e">
        <f>IF(I$63,49.55,NA())</f>
        <v>#N/A</v>
      </c>
      <c r="J102" s="82" t="e">
        <f>NA()</f>
        <v>#N/A</v>
      </c>
      <c r="K102" s="82" t="e">
        <f>IF(K$63,55.03,NA())</f>
        <v>#N/A</v>
      </c>
      <c r="L102" s="82" t="e">
        <f>IF(L$63,40.47,NA())</f>
        <v>#N/A</v>
      </c>
      <c r="M102" s="82" t="e">
        <f>IF(M$63,100.91,NA())</f>
        <v>#N/A</v>
      </c>
      <c r="N102" s="82" t="e">
        <f>IF(N$63,64.21,NA())</f>
        <v>#N/A</v>
      </c>
      <c r="O102" s="82">
        <f>IF(O$63,32.49,NA())</f>
        <v>32.49</v>
      </c>
      <c r="P102" s="82" t="e">
        <f>IF(P$63,32.23,NA())</f>
        <v>#N/A</v>
      </c>
      <c r="Q102" s="82" t="e">
        <f>IF(Q$63,85.6,NA())</f>
        <v>#N/A</v>
      </c>
      <c r="R102" s="82">
        <f>IF(R$63,37.83,NA())</f>
        <v>37.83</v>
      </c>
      <c r="S102" s="82" t="e">
        <f>IF(S$63,93.73,NA())</f>
        <v>#N/A</v>
      </c>
      <c r="T102" s="82" t="e">
        <f>IF(T$63,62.52,NA())</f>
        <v>#N/A</v>
      </c>
      <c r="U102" s="82" t="e">
        <f>IF(U$63,97.75,NA())</f>
        <v>#N/A</v>
      </c>
      <c r="V102" s="82">
        <f>IF(V$63,35.09,NA())</f>
        <v>35.090000000000003</v>
      </c>
      <c r="W102" s="82" t="e">
        <f>IF(W$63,73.61,NA())</f>
        <v>#N/A</v>
      </c>
      <c r="X102" s="82" t="e">
        <f>IF(X$63,63.7,NA())</f>
        <v>#N/A</v>
      </c>
      <c r="Y102" s="82" t="e">
        <f>IF(Y$63,45.92,NA())</f>
        <v>#N/A</v>
      </c>
      <c r="Z102" s="82" t="e">
        <f>IF(Z$63,70.94,NA())</f>
        <v>#N/A</v>
      </c>
      <c r="AA102" s="82" t="e">
        <f>IF(AA$63,55.1,NA())</f>
        <v>#N/A</v>
      </c>
      <c r="AB102" s="82">
        <f>IF(AB$63,41.53,NA())</f>
        <v>41.53</v>
      </c>
      <c r="AC102" s="82" t="e">
        <f>IF(AC$63,71.11,NA())</f>
        <v>#N/A</v>
      </c>
      <c r="AD102" s="82" t="e">
        <f>IF(AD$63,66.43,NA())</f>
        <v>#N/A</v>
      </c>
      <c r="AE102" s="82" t="e">
        <f>IF(AE$63,64.08,NA())</f>
        <v>#N/A</v>
      </c>
      <c r="AF102" s="82" t="e">
        <f>IF(AF$63,44.74,NA())</f>
        <v>#N/A</v>
      </c>
      <c r="AG102" s="82" t="e">
        <f>IF(AG$63,58.86,NA())</f>
        <v>#N/A</v>
      </c>
      <c r="AH102" s="82" t="e">
        <f>IF(AH$63,32.42,NA())</f>
        <v>#N/A</v>
      </c>
      <c r="AI102" s="82">
        <f>IF(AI$63,25.61,NA())</f>
        <v>25.61</v>
      </c>
      <c r="AJ102" s="82" t="e">
        <f>IF(AJ$63,92.87,NA())</f>
        <v>#N/A</v>
      </c>
      <c r="AK102" s="82" t="e">
        <f>IF(AK$63,68.99,NA())</f>
        <v>#N/A</v>
      </c>
      <c r="AL102" s="82">
        <f>IF(AL$63,42.26,NA())</f>
        <v>42.26</v>
      </c>
      <c r="AM102" s="82" t="e">
        <f>IF(AM$63,26.18,NA())</f>
        <v>#N/A</v>
      </c>
      <c r="AN102" s="82" t="e">
        <f>IF(AN$63,66.38,NA())</f>
        <v>#N/A</v>
      </c>
      <c r="AO102" s="82" t="e">
        <f>IF(AO$63,44.16,NA())</f>
        <v>#N/A</v>
      </c>
      <c r="AP102" s="82" t="e">
        <f>IF(AP$63,52.42,NA())</f>
        <v>#N/A</v>
      </c>
      <c r="AQ102" s="82" t="e">
        <f>IF(AQ$63,42.78,NA())</f>
        <v>#N/A</v>
      </c>
      <c r="AR102" s="82" t="e">
        <f>IF(AR$63,35.4,NA())</f>
        <v>#N/A</v>
      </c>
      <c r="AS102" s="82" t="e">
        <f>IF(AS$63,54.41,NA())</f>
        <v>#N/A</v>
      </c>
      <c r="AT102" s="82" t="e">
        <f>IF(AT$63,64.47,NA())</f>
        <v>#N/A</v>
      </c>
      <c r="AU102" s="82">
        <f>IF(AU$63,34.38,NA())</f>
        <v>34.380000000000003</v>
      </c>
      <c r="AV102" s="82">
        <f>IF(AV$63,29.79,NA())</f>
        <v>29.79</v>
      </c>
      <c r="AW102" s="82" t="e">
        <f>IF(AW$63,72.87,NA())</f>
        <v>#N/A</v>
      </c>
      <c r="AX102" s="82" t="e">
        <f>IF(AX$63,26.36,NA())</f>
        <v>#N/A</v>
      </c>
      <c r="AY102" s="82" t="e">
        <f>IF(AY$63,71.24,NA())</f>
        <v>#N/A</v>
      </c>
    </row>
    <row r="103" spans="1:51" x14ac:dyDescent="0.3">
      <c r="A103" s="81" t="s">
        <v>118</v>
      </c>
      <c r="B103" s="82">
        <f>IF(B$63,136.73,NA())</f>
        <v>136.72999999999999</v>
      </c>
      <c r="C103" s="82">
        <f>IF(C$63,48.81,NA())</f>
        <v>48.81</v>
      </c>
      <c r="D103" s="82">
        <f>IF(D$63,116.56,NA())</f>
        <v>116.56</v>
      </c>
      <c r="E103" s="82">
        <f>IF(E$63,50.07,NA())</f>
        <v>50.07</v>
      </c>
      <c r="F103" s="82">
        <f>IF(F$63,54.72,NA())</f>
        <v>54.72</v>
      </c>
      <c r="G103" s="82">
        <f>IF(G$63,40.11,NA())</f>
        <v>40.11</v>
      </c>
      <c r="H103" s="82" t="e">
        <f>IF(H$63,59.33,NA())</f>
        <v>#N/A</v>
      </c>
      <c r="I103" s="82" t="e">
        <f>IF(I$63,49.42,NA())</f>
        <v>#N/A</v>
      </c>
      <c r="J103" s="82" t="e">
        <f>NA()</f>
        <v>#N/A</v>
      </c>
      <c r="K103" s="82" t="e">
        <f>IF(K$63,55.79,NA())</f>
        <v>#N/A</v>
      </c>
      <c r="L103" s="82" t="e">
        <f>IF(L$63,41.01,NA())</f>
        <v>#N/A</v>
      </c>
      <c r="M103" s="82" t="e">
        <f>IF(M$63,99.81,NA())</f>
        <v>#N/A</v>
      </c>
      <c r="N103" s="82" t="e">
        <f>IF(N$63,68.74,NA())</f>
        <v>#N/A</v>
      </c>
      <c r="O103" s="82">
        <f>IF(O$63,31.72,NA())</f>
        <v>31.72</v>
      </c>
      <c r="P103" s="82" t="e">
        <f>IF(P$63,34,NA())</f>
        <v>#N/A</v>
      </c>
      <c r="Q103" s="82" t="e">
        <f>IF(Q$63,79.96,NA())</f>
        <v>#N/A</v>
      </c>
      <c r="R103" s="82">
        <f>IF(R$63,38.14,NA())</f>
        <v>38.14</v>
      </c>
      <c r="S103" s="82" t="e">
        <f>IF(S$63,93.14,NA())</f>
        <v>#N/A</v>
      </c>
      <c r="T103" s="82" t="e">
        <f>IF(T$63,60.59,NA())</f>
        <v>#N/A</v>
      </c>
      <c r="U103" s="82" t="e">
        <f>IF(U$63,93.73,NA())</f>
        <v>#N/A</v>
      </c>
      <c r="V103" s="82">
        <f>IF(V$63,33.34,NA())</f>
        <v>33.340000000000003</v>
      </c>
      <c r="W103" s="82" t="e">
        <f>IF(W$63,72.1,NA())</f>
        <v>#N/A</v>
      </c>
      <c r="X103" s="82" t="e">
        <f>IF(X$63,63.84,NA())</f>
        <v>#N/A</v>
      </c>
      <c r="Y103" s="82" t="e">
        <f>IF(Y$63,47.1,NA())</f>
        <v>#N/A</v>
      </c>
      <c r="Z103" s="82" t="e">
        <f>IF(Z$63,71.66,NA())</f>
        <v>#N/A</v>
      </c>
      <c r="AA103" s="82" t="e">
        <f>IF(AA$63,55.1,NA())</f>
        <v>#N/A</v>
      </c>
      <c r="AB103" s="82">
        <f>IF(AB$63,42.65,NA())</f>
        <v>42.65</v>
      </c>
      <c r="AC103" s="82" t="e">
        <f>IF(AC$63,69.68,NA())</f>
        <v>#N/A</v>
      </c>
      <c r="AD103" s="82" t="e">
        <f>IF(AD$63,64.51,NA())</f>
        <v>#N/A</v>
      </c>
      <c r="AE103" s="82" t="e">
        <f>IF(AE$63,63.79,NA())</f>
        <v>#N/A</v>
      </c>
      <c r="AF103" s="82" t="e">
        <f>IF(AF$63,43.83,NA())</f>
        <v>#N/A</v>
      </c>
      <c r="AG103" s="82" t="e">
        <f>IF(AG$63,53.64,NA())</f>
        <v>#N/A</v>
      </c>
      <c r="AH103" s="82" t="e">
        <f>IF(AH$63,34.99,NA())</f>
        <v>#N/A</v>
      </c>
      <c r="AI103" s="82">
        <f>IF(AI$63,29.38,NA())</f>
        <v>29.38</v>
      </c>
      <c r="AJ103" s="82" t="e">
        <f>IF(AJ$63,93.3,NA())</f>
        <v>#N/A</v>
      </c>
      <c r="AK103" s="82" t="e">
        <f>IF(AK$63,67.05,NA())</f>
        <v>#N/A</v>
      </c>
      <c r="AL103" s="82">
        <f>IF(AL$63,41.93,NA())</f>
        <v>41.93</v>
      </c>
      <c r="AM103" s="82" t="e">
        <f>IF(AM$63,25.49,NA())</f>
        <v>#N/A</v>
      </c>
      <c r="AN103" s="82" t="e">
        <f>IF(AN$63,68.02,NA())</f>
        <v>#N/A</v>
      </c>
      <c r="AO103" s="82" t="e">
        <f>IF(AO$63,43.23,NA())</f>
        <v>#N/A</v>
      </c>
      <c r="AP103" s="82" t="e">
        <f>IF(AP$63,53.97,NA())</f>
        <v>#N/A</v>
      </c>
      <c r="AQ103" s="82" t="e">
        <f>IF(AQ$63,43.37,NA())</f>
        <v>#N/A</v>
      </c>
      <c r="AR103" s="82" t="e">
        <f>IF(AR$63,35.97,NA())</f>
        <v>#N/A</v>
      </c>
      <c r="AS103" s="82" t="e">
        <f>IF(AS$63,54.75,NA())</f>
        <v>#N/A</v>
      </c>
      <c r="AT103" s="82" t="e">
        <f>IF(AT$63,64.25,NA())</f>
        <v>#N/A</v>
      </c>
      <c r="AU103" s="82">
        <f>IF(AU$63,36.29,NA())</f>
        <v>36.29</v>
      </c>
      <c r="AV103" s="82">
        <f>IF(AV$63,31.07,NA())</f>
        <v>31.07</v>
      </c>
      <c r="AW103" s="82" t="e">
        <f>IF(AW$63,68.87,NA())</f>
        <v>#N/A</v>
      </c>
      <c r="AX103" s="82" t="e">
        <f>IF(AX$63,27.21,NA())</f>
        <v>#N/A</v>
      </c>
      <c r="AY103" s="82" t="e">
        <f>IF(AY$63,67.01,NA())</f>
        <v>#N/A</v>
      </c>
    </row>
    <row r="104" spans="1:51" x14ac:dyDescent="0.3">
      <c r="A104" s="81" t="s">
        <v>119</v>
      </c>
      <c r="B104" s="82">
        <f>IF(B$63,136.38,NA())</f>
        <v>136.38</v>
      </c>
      <c r="C104" s="82">
        <f>IF(C$63,50.71,NA())</f>
        <v>50.71</v>
      </c>
      <c r="D104" s="82">
        <f>IF(D$63,118.34,NA())</f>
        <v>118.34</v>
      </c>
      <c r="E104" s="82">
        <f>IF(E$63,48,NA())</f>
        <v>48</v>
      </c>
      <c r="F104" s="82">
        <f>IF(F$63,54.72,NA())</f>
        <v>54.72</v>
      </c>
      <c r="G104" s="82">
        <f>IF(G$63,39.39,NA())</f>
        <v>39.39</v>
      </c>
      <c r="H104" s="82" t="e">
        <f>IF(H$63,61.27,NA())</f>
        <v>#N/A</v>
      </c>
      <c r="I104" s="82" t="e">
        <f>IF(I$63,50.08,NA())</f>
        <v>#N/A</v>
      </c>
      <c r="J104" s="82" t="e">
        <f>NA()</f>
        <v>#N/A</v>
      </c>
      <c r="K104" s="82" t="e">
        <f>IF(K$63,59.43,NA())</f>
        <v>#N/A</v>
      </c>
      <c r="L104" s="82" t="e">
        <f>IF(L$63,40.47,NA())</f>
        <v>#N/A</v>
      </c>
      <c r="M104" s="82" t="e">
        <f>IF(M$63,100.36,NA())</f>
        <v>#N/A</v>
      </c>
      <c r="N104" s="82" t="e">
        <f>IF(N$63,67.23,NA())</f>
        <v>#N/A</v>
      </c>
      <c r="O104" s="82">
        <f>IF(O$63,32.88,NA())</f>
        <v>32.880000000000003</v>
      </c>
      <c r="P104" s="82" t="e">
        <f>IF(P$63,34,NA())</f>
        <v>#N/A</v>
      </c>
      <c r="Q104" s="82" t="e">
        <f>IF(Q$63,73.37,NA())</f>
        <v>#N/A</v>
      </c>
      <c r="R104" s="82">
        <f>IF(R$63,39.21,NA())</f>
        <v>39.21</v>
      </c>
      <c r="S104" s="82" t="e">
        <f>IF(S$63,93.54,NA())</f>
        <v>#N/A</v>
      </c>
      <c r="T104" s="82" t="e">
        <f>IF(T$63,59.7,NA())</f>
        <v>#N/A</v>
      </c>
      <c r="U104" s="82" t="e">
        <f>IF(U$63,98.9,NA())</f>
        <v>#N/A</v>
      </c>
      <c r="V104" s="82">
        <f>IF(V$63,33.34,NA())</f>
        <v>33.340000000000003</v>
      </c>
      <c r="W104" s="82" t="e">
        <f>IF(W$63,70.18,NA())</f>
        <v>#N/A</v>
      </c>
      <c r="X104" s="82" t="e">
        <f>IF(X$63,63.41,NA())</f>
        <v>#N/A</v>
      </c>
      <c r="Y104" s="82" t="e">
        <f>IF(Y$63,47.1,NA())</f>
        <v>#N/A</v>
      </c>
      <c r="Z104" s="82" t="e">
        <f>IF(Z$63,74.16,NA())</f>
        <v>#N/A</v>
      </c>
      <c r="AA104" s="82" t="e">
        <f>IF(AA$63,57.14,NA())</f>
        <v>#N/A</v>
      </c>
      <c r="AB104" s="82" t="e">
        <f>NA()</f>
        <v>#N/A</v>
      </c>
      <c r="AC104" s="82" t="e">
        <f>IF(AC$63,67.44,NA())</f>
        <v>#N/A</v>
      </c>
      <c r="AD104" s="82" t="e">
        <f>IF(AD$63,61.62,NA())</f>
        <v>#N/A</v>
      </c>
      <c r="AE104" s="82" t="e">
        <f>IF(AE$63,65.36,NA())</f>
        <v>#N/A</v>
      </c>
      <c r="AF104" s="82" t="e">
        <f>IF(AF$63,42.92,NA())</f>
        <v>#N/A</v>
      </c>
      <c r="AG104" s="82" t="e">
        <f>IF(AG$63,54.39,NA())</f>
        <v>#N/A</v>
      </c>
      <c r="AH104" s="82" t="e">
        <f>IF(AH$63,36.02,NA())</f>
        <v>#N/A</v>
      </c>
      <c r="AI104" s="82">
        <f>IF(AI$63,30.89,NA())</f>
        <v>30.89</v>
      </c>
      <c r="AJ104" s="82" t="e">
        <f>IF(AJ$63,96.3,NA())</f>
        <v>#N/A</v>
      </c>
      <c r="AK104" s="82" t="e">
        <f>IF(AK$63,67.48,NA())</f>
        <v>#N/A</v>
      </c>
      <c r="AL104" s="82">
        <f>IF(AL$63,41.27,NA())</f>
        <v>41.27</v>
      </c>
      <c r="AM104" s="82" t="e">
        <f>IF(AM$63,24.11,NA())</f>
        <v>#N/A</v>
      </c>
      <c r="AN104" s="82" t="e">
        <f>IF(AN$63,67.77,NA())</f>
        <v>#N/A</v>
      </c>
      <c r="AO104" s="82" t="e">
        <f>IF(AO$63,42.68,NA())</f>
        <v>#N/A</v>
      </c>
      <c r="AP104" s="82" t="e">
        <f>IF(AP$63,52.42,NA())</f>
        <v>#N/A</v>
      </c>
      <c r="AQ104" s="82" t="e">
        <f>IF(AQ$63,48.69,NA())</f>
        <v>#N/A</v>
      </c>
      <c r="AR104" s="82" t="e">
        <f>IF(AR$63,35.4,NA())</f>
        <v>#N/A</v>
      </c>
      <c r="AS104" s="82" t="e">
        <f>IF(AS$63,55.43,NA())</f>
        <v>#N/A</v>
      </c>
      <c r="AT104" s="82" t="e">
        <f>IF(AT$63,64.69,NA())</f>
        <v>#N/A</v>
      </c>
      <c r="AU104" s="82">
        <f>IF(AU$63,37.24,NA())</f>
        <v>37.24</v>
      </c>
      <c r="AV104" s="82">
        <f>IF(AV$63,34.9,NA())</f>
        <v>34.9</v>
      </c>
      <c r="AW104" s="82" t="e">
        <f>IF(AW$63,65.88,NA())</f>
        <v>#N/A</v>
      </c>
      <c r="AX104" s="82" t="e">
        <f>IF(AX$63,24.66,NA())</f>
        <v>#N/A</v>
      </c>
      <c r="AY104" s="82" t="e">
        <f>IF(AY$63,64.3,NA())</f>
        <v>#N/A</v>
      </c>
    </row>
    <row r="105" spans="1:51" x14ac:dyDescent="0.3">
      <c r="A105" s="81" t="s">
        <v>120</v>
      </c>
      <c r="B105" s="82">
        <f>IF(B$63,140.43,NA())</f>
        <v>140.43</v>
      </c>
      <c r="C105" s="82">
        <f>IF(C$63,50.71,NA())</f>
        <v>50.71</v>
      </c>
      <c r="D105" s="82">
        <f>IF(D$63,120.13,NA())</f>
        <v>120.13</v>
      </c>
      <c r="E105" s="82">
        <f>IF(E$63,49.72,NA())</f>
        <v>49.72</v>
      </c>
      <c r="F105" s="82">
        <f>IF(F$63,57.12,NA())</f>
        <v>57.12</v>
      </c>
      <c r="G105" s="82">
        <f>IF(G$63,39.93,NA())</f>
        <v>39.93</v>
      </c>
      <c r="H105" s="82" t="e">
        <f>IF(H$63,63.44,NA())</f>
        <v>#N/A</v>
      </c>
      <c r="I105" s="82" t="e">
        <f>IF(I$63,51.68,NA())</f>
        <v>#N/A</v>
      </c>
      <c r="J105" s="82" t="e">
        <f>NA()</f>
        <v>#N/A</v>
      </c>
      <c r="K105" s="82" t="e">
        <f>IF(K$63,60.31,NA())</f>
        <v>#N/A</v>
      </c>
      <c r="L105" s="82" t="e">
        <f>IF(L$63,40.88,NA())</f>
        <v>#N/A</v>
      </c>
      <c r="M105" s="82" t="e">
        <f>IF(M$63,100.36,NA())</f>
        <v>#N/A</v>
      </c>
      <c r="N105" s="82" t="e">
        <f>IF(N$63,71.01,NA())</f>
        <v>#N/A</v>
      </c>
      <c r="O105" s="82">
        <f>IF(O$63,34.43,NA())</f>
        <v>34.43</v>
      </c>
      <c r="P105" s="82" t="e">
        <f>IF(P$63,37.97,NA())</f>
        <v>#N/A</v>
      </c>
      <c r="Q105" s="82" t="e">
        <f>IF(Q$63,63.97,NA())</f>
        <v>#N/A</v>
      </c>
      <c r="R105" s="82">
        <f>IF(R$63,40.48,NA())</f>
        <v>40.479999999999997</v>
      </c>
      <c r="S105" s="82" t="e">
        <f>IF(S$63,92.75,NA())</f>
        <v>#N/A</v>
      </c>
      <c r="T105" s="82" t="e">
        <f>IF(T$63,59.1,NA())</f>
        <v>#N/A</v>
      </c>
      <c r="U105" s="82" t="e">
        <f>IF(U$63,100.05,NA())</f>
        <v>#N/A</v>
      </c>
      <c r="V105" s="82">
        <f>IF(V$63,32.46,NA())</f>
        <v>32.46</v>
      </c>
      <c r="W105" s="82" t="e">
        <f>IF(W$63,72.65,NA())</f>
        <v>#N/A</v>
      </c>
      <c r="X105" s="82" t="e">
        <f>IF(X$63,64.13,NA())</f>
        <v>#N/A</v>
      </c>
      <c r="Y105" s="82" t="e">
        <f>IF(Y$63,44.74,NA())</f>
        <v>#N/A</v>
      </c>
      <c r="Z105" s="82" t="e">
        <f>IF(Z$63,74.16,NA())</f>
        <v>#N/A</v>
      </c>
      <c r="AA105" s="82" t="e">
        <f>IF(AA$63,57.82,NA())</f>
        <v>#N/A</v>
      </c>
      <c r="AB105" s="82" t="e">
        <f>NA()</f>
        <v>#N/A</v>
      </c>
      <c r="AC105" s="82" t="e">
        <f>IF(AC$63,66.42,NA())</f>
        <v>#N/A</v>
      </c>
      <c r="AD105" s="82" t="e">
        <f>IF(AD$63,63.54,NA())</f>
        <v>#N/A</v>
      </c>
      <c r="AE105" s="82" t="e">
        <f>IF(AE$63,64.93,NA())</f>
        <v>#N/A</v>
      </c>
      <c r="AF105" s="82" t="e">
        <f>IF(AF$63,38.35,NA())</f>
        <v>#N/A</v>
      </c>
      <c r="AG105" s="82" t="e">
        <f>IF(AG$63,55.88,NA())</f>
        <v>#N/A</v>
      </c>
      <c r="AH105" s="82" t="e">
        <f>IF(AH$63,39.62,NA())</f>
        <v>#N/A</v>
      </c>
      <c r="AI105" s="82">
        <f>IF(AI$63,33.9,NA())</f>
        <v>33.9</v>
      </c>
      <c r="AJ105" s="82" t="e">
        <f>IF(AJ$63,96.72,NA())</f>
        <v>#N/A</v>
      </c>
      <c r="AK105" s="82" t="e">
        <f>IF(AK$63,67.15,NA())</f>
        <v>#N/A</v>
      </c>
      <c r="AL105" s="82">
        <f>IF(AL$63,40.94,NA())</f>
        <v>40.94</v>
      </c>
      <c r="AM105" s="82" t="e">
        <f>IF(AM$63,24.11,NA())</f>
        <v>#N/A</v>
      </c>
      <c r="AN105" s="82" t="e">
        <f>IF(AN$63,68.9,NA())</f>
        <v>#N/A</v>
      </c>
      <c r="AO105" s="82" t="e">
        <f>IF(AO$63,43.05,NA())</f>
        <v>#N/A</v>
      </c>
      <c r="AP105" s="82" t="e">
        <f>IF(AP$63,51.9,NA())</f>
        <v>#N/A</v>
      </c>
      <c r="AQ105" s="82" t="e">
        <f>IF(AQ$63,50.47,NA())</f>
        <v>#N/A</v>
      </c>
      <c r="AR105" s="82" t="e">
        <f>IF(AR$63,34.28,NA())</f>
        <v>#N/A</v>
      </c>
      <c r="AS105" s="82" t="e">
        <f>IF(AS$63,55.6,NA())</f>
        <v>#N/A</v>
      </c>
      <c r="AT105" s="82" t="e">
        <f>IF(AT$63,64.25,NA())</f>
        <v>#N/A</v>
      </c>
      <c r="AU105" s="82">
        <f>IF(AU$63,40.11,NA())</f>
        <v>40.11</v>
      </c>
      <c r="AV105" s="82">
        <f>IF(AV$63,36.6,NA())</f>
        <v>36.6</v>
      </c>
      <c r="AW105" s="82" t="e">
        <f>IF(AW$63,68.87,NA())</f>
        <v>#N/A</v>
      </c>
      <c r="AX105" s="82" t="e">
        <f>IF(AX$63,28.91,NA())</f>
        <v>#N/A</v>
      </c>
      <c r="AY105" s="82" t="e">
        <f>IF(AY$63,64,NA())</f>
        <v>#N/A</v>
      </c>
    </row>
    <row r="106" spans="1:51" x14ac:dyDescent="0.3">
      <c r="A106" s="81" t="s">
        <v>121</v>
      </c>
      <c r="B106" s="82">
        <f>IF(B$63,142.36,NA())</f>
        <v>142.36000000000001</v>
      </c>
      <c r="C106" s="82">
        <f>IF(C$63,54.51,NA())</f>
        <v>54.51</v>
      </c>
      <c r="D106" s="82">
        <f>IF(D$63,121.56,NA())</f>
        <v>121.56</v>
      </c>
      <c r="E106" s="82">
        <f>IF(E$63,54.21,NA())</f>
        <v>54.21</v>
      </c>
      <c r="F106" s="82">
        <f>IF(F$63,62.88,NA())</f>
        <v>62.88</v>
      </c>
      <c r="G106" s="82">
        <f>IF(G$63,40.11,NA())</f>
        <v>40.11</v>
      </c>
      <c r="H106" s="82" t="e">
        <f>IF(H$63,67.19,NA())</f>
        <v>#N/A</v>
      </c>
      <c r="I106" s="82" t="e">
        <f>IF(I$63,51.81,NA())</f>
        <v>#N/A</v>
      </c>
      <c r="J106" s="82" t="e">
        <f>NA()</f>
        <v>#N/A</v>
      </c>
      <c r="K106" s="82" t="e">
        <f>IF(K$63,63.07,NA())</f>
        <v>#N/A</v>
      </c>
      <c r="L106" s="82" t="e">
        <f>IF(L$63,41.7,NA())</f>
        <v>#N/A</v>
      </c>
      <c r="M106" s="82" t="e">
        <f>IF(M$63,100.36,NA())</f>
        <v>#N/A</v>
      </c>
      <c r="N106" s="82" t="e">
        <f>IF(N$63,71.01,NA())</f>
        <v>#N/A</v>
      </c>
      <c r="O106" s="82">
        <f>IF(O$63,34.81,NA())</f>
        <v>34.81</v>
      </c>
      <c r="P106" s="82" t="e">
        <f>IF(P$63,38.41,NA())</f>
        <v>#N/A</v>
      </c>
      <c r="Q106" s="82" t="e">
        <f>IF(Q$63,55.5,NA())</f>
        <v>#N/A</v>
      </c>
      <c r="R106" s="82">
        <f>IF(R$63,43.03,NA())</f>
        <v>43.03</v>
      </c>
      <c r="S106" s="82" t="e">
        <f>IF(S$63,94.13,NA())</f>
        <v>#N/A</v>
      </c>
      <c r="T106" s="82" t="e">
        <f>IF(T$63,57.91,NA())</f>
        <v>#N/A</v>
      </c>
      <c r="U106" s="82" t="e">
        <f>IF(U$63,103.5,NA())</f>
        <v>#N/A</v>
      </c>
      <c r="V106" s="82">
        <f>IF(V$63,34.22,NA())</f>
        <v>34.22</v>
      </c>
      <c r="W106" s="82" t="e">
        <f>IF(W$63,71.69,NA())</f>
        <v>#N/A</v>
      </c>
      <c r="X106" s="82" t="e">
        <f>IF(X$63,63.41,NA())</f>
        <v>#N/A</v>
      </c>
      <c r="Y106" s="82" t="e">
        <f>IF(Y$63,44.15,NA())</f>
        <v>#N/A</v>
      </c>
      <c r="Z106" s="82" t="e">
        <f>IF(Z$63,73.09,NA())</f>
        <v>#N/A</v>
      </c>
      <c r="AA106" s="82" t="e">
        <f>IF(AA$63,55.1,NA())</f>
        <v>#N/A</v>
      </c>
      <c r="AB106" s="82" t="e">
        <f>NA()</f>
        <v>#N/A</v>
      </c>
      <c r="AC106" s="82" t="e">
        <f>IF(AC$63,66.32,NA())</f>
        <v>#N/A</v>
      </c>
      <c r="AD106" s="82" t="e">
        <f>IF(AD$63,64.51,NA())</f>
        <v>#N/A</v>
      </c>
      <c r="AE106" s="82" t="e">
        <f>IF(AE$63,64.79,NA())</f>
        <v>#N/A</v>
      </c>
      <c r="AF106" s="82" t="e">
        <f>IF(AF$63,45.66,NA())</f>
        <v>#N/A</v>
      </c>
      <c r="AG106" s="82" t="e">
        <f>IF(AG$63,57.37,NA())</f>
        <v>#N/A</v>
      </c>
      <c r="AH106" s="82" t="e">
        <f>IF(AH$63,40.65,NA())</f>
        <v>#N/A</v>
      </c>
      <c r="AI106" s="82">
        <f>IF(AI$63,32.4,NA())</f>
        <v>32.4</v>
      </c>
      <c r="AJ106" s="82" t="e">
        <f>IF(AJ$63,96.72,NA())</f>
        <v>#N/A</v>
      </c>
      <c r="AK106" s="82" t="e">
        <f>IF(AK$63,68.34,NA())</f>
        <v>#N/A</v>
      </c>
      <c r="AL106" s="82">
        <f>IF(AL$63,39.29,NA())</f>
        <v>39.29</v>
      </c>
      <c r="AM106" s="82" t="e">
        <f>IF(AM$63,26.18,NA())</f>
        <v>#N/A</v>
      </c>
      <c r="AN106" s="82" t="e">
        <f>IF(AN$63,68.52,NA())</f>
        <v>#N/A</v>
      </c>
      <c r="AO106" s="82" t="e">
        <f>IF(AO$63,42.68,NA())</f>
        <v>#N/A</v>
      </c>
      <c r="AP106" s="82" t="e">
        <f>IF(AP$63,52.93,NA())</f>
        <v>#N/A</v>
      </c>
      <c r="AQ106" s="82" t="e">
        <f>IF(AQ$63,51.06,NA())</f>
        <v>#N/A</v>
      </c>
      <c r="AR106" s="82" t="e">
        <f>IF(AR$63,33.72,NA())</f>
        <v>#N/A</v>
      </c>
      <c r="AS106" s="82" t="e">
        <f>IF(AS$63,52.54,NA())</f>
        <v>#N/A</v>
      </c>
      <c r="AT106" s="82" t="e">
        <f>IF(AT$63,65.13,NA())</f>
        <v>#N/A</v>
      </c>
      <c r="AU106" s="82">
        <f>IF(AU$63,38.2,NA())</f>
        <v>38.200000000000003</v>
      </c>
      <c r="AV106" s="82">
        <f>IF(AV$63,39.58,NA())</f>
        <v>39.58</v>
      </c>
      <c r="AW106" s="82" t="e">
        <f>IF(AW$63,65.88,NA())</f>
        <v>#N/A</v>
      </c>
      <c r="AX106" s="82" t="e">
        <f>IF(AX$63,29.76,NA())</f>
        <v>#N/A</v>
      </c>
      <c r="AY106" s="82" t="e">
        <f>IF(AY$63,61.58,NA())</f>
        <v>#N/A</v>
      </c>
    </row>
    <row r="107" spans="1:51" x14ac:dyDescent="0.3">
      <c r="A107" s="81" t="s">
        <v>122</v>
      </c>
      <c r="B107" s="82">
        <f>IF(B$63,144.47,NA())</f>
        <v>144.47</v>
      </c>
      <c r="C107" s="82">
        <f>IF(C$63,55.15,NA())</f>
        <v>55.15</v>
      </c>
      <c r="D107" s="82">
        <f>IF(D$63,122.28,NA())</f>
        <v>122.28</v>
      </c>
      <c r="E107" s="82">
        <f>IF(E$63,55.59,NA())</f>
        <v>55.59</v>
      </c>
      <c r="F107" s="82">
        <f>IF(F$63,62.4,NA())</f>
        <v>62.4</v>
      </c>
      <c r="G107" s="82">
        <f>IF(G$63,40.29,NA())</f>
        <v>40.29</v>
      </c>
      <c r="H107" s="82" t="e">
        <f>IF(H$63,67.67,NA())</f>
        <v>#N/A</v>
      </c>
      <c r="I107" s="82" t="e">
        <f>IF(I$63,53.67,NA())</f>
        <v>#N/A</v>
      </c>
      <c r="J107" s="82" t="e">
        <f>NA()</f>
        <v>#N/A</v>
      </c>
      <c r="K107" s="82" t="e">
        <f>IF(K$63,67.85,NA())</f>
        <v>#N/A</v>
      </c>
      <c r="L107" s="82" t="e">
        <f>IF(L$63,42.52,NA())</f>
        <v>#N/A</v>
      </c>
      <c r="M107" s="82" t="e">
        <f>IF(M$63,103.12,NA())</f>
        <v>#N/A</v>
      </c>
      <c r="N107" s="82" t="e">
        <f>IF(N$63,74.03,NA())</f>
        <v>#N/A</v>
      </c>
      <c r="O107" s="82">
        <f>IF(O$63,35.97,NA())</f>
        <v>35.97</v>
      </c>
      <c r="P107" s="82" t="e">
        <f>IF(P$63,36.21,NA())</f>
        <v>#N/A</v>
      </c>
      <c r="Q107" s="82" t="e">
        <f>IF(Q$63,56.44,NA())</f>
        <v>#N/A</v>
      </c>
      <c r="R107" s="82">
        <f>IF(R$63,45.26,NA())</f>
        <v>45.26</v>
      </c>
      <c r="S107" s="82" t="e">
        <f>IF(S$63,93.14,NA())</f>
        <v>#N/A</v>
      </c>
      <c r="T107" s="82" t="e">
        <f>IF(T$63,58.8,NA())</f>
        <v>#N/A</v>
      </c>
      <c r="U107" s="82" t="e">
        <f>IF(U$63,103.5,NA())</f>
        <v>#N/A</v>
      </c>
      <c r="V107" s="82">
        <f>IF(V$63,31.58,NA())</f>
        <v>31.58</v>
      </c>
      <c r="W107" s="82" t="e">
        <f>IF(W$63,74.43,NA())</f>
        <v>#N/A</v>
      </c>
      <c r="X107" s="82" t="e">
        <f>IF(X$63,64.71,NA())</f>
        <v>#N/A</v>
      </c>
      <c r="Y107" s="82" t="e">
        <f>IF(Y$63,46.51,NA())</f>
        <v>#N/A</v>
      </c>
      <c r="Z107" s="82" t="e">
        <f>IF(Z$63,71.66,NA())</f>
        <v>#N/A</v>
      </c>
      <c r="AA107" s="82" t="e">
        <f>IF(AA$63,56.46,NA())</f>
        <v>#N/A</v>
      </c>
      <c r="AB107" s="82" t="e">
        <f>NA()</f>
        <v>#N/A</v>
      </c>
      <c r="AC107" s="82" t="e">
        <f>IF(AC$63,66.52,NA())</f>
        <v>#N/A</v>
      </c>
      <c r="AD107" s="82" t="e">
        <f>IF(AD$63,65.47,NA())</f>
        <v>#N/A</v>
      </c>
      <c r="AE107" s="82" t="e">
        <f>IF(AE$63,64.22,NA())</f>
        <v>#N/A</v>
      </c>
      <c r="AF107" s="82" t="e">
        <f>IF(AF$63,48.39,NA())</f>
        <v>#N/A</v>
      </c>
      <c r="AG107" s="82" t="e">
        <f>IF(AG$63,54.39,NA())</f>
        <v>#N/A</v>
      </c>
      <c r="AH107" s="82" t="e">
        <f>IF(AH$63,42.71,NA())</f>
        <v>#N/A</v>
      </c>
      <c r="AI107" s="82">
        <f>IF(AI$63,32.4,NA())</f>
        <v>32.4</v>
      </c>
      <c r="AJ107" s="82" t="e">
        <f>IF(AJ$63,98.01,NA())</f>
        <v>#N/A</v>
      </c>
      <c r="AK107" s="82" t="e">
        <f>IF(AK$63,68.02,NA())</f>
        <v>#N/A</v>
      </c>
      <c r="AL107" s="82">
        <f>IF(AL$63,40.28,NA())</f>
        <v>40.28</v>
      </c>
      <c r="AM107" s="82" t="e">
        <f>IF(AM$63,23.42,NA())</f>
        <v>#N/A</v>
      </c>
      <c r="AN107" s="82" t="e">
        <f>IF(AN$63,67.39,NA())</f>
        <v>#N/A</v>
      </c>
      <c r="AO107" s="82" t="e">
        <f>IF(AO$63,43.14,NA())</f>
        <v>#N/A</v>
      </c>
      <c r="AP107" s="82" t="e">
        <f>IF(AP$63,50.86,NA())</f>
        <v>#N/A</v>
      </c>
      <c r="AQ107" s="82" t="e">
        <f>IF(AQ$63,49.87,NA())</f>
        <v>#N/A</v>
      </c>
      <c r="AR107" s="82" t="e">
        <f>IF(AR$63,36.53,NA())</f>
        <v>#N/A</v>
      </c>
      <c r="AS107" s="82" t="e">
        <f>IF(AS$63,51.52,NA())</f>
        <v>#N/A</v>
      </c>
      <c r="AT107" s="82" t="e">
        <f>IF(AT$63,63.92,NA())</f>
        <v>#N/A</v>
      </c>
      <c r="AU107" s="82">
        <f>IF(AU$63,38.2,NA())</f>
        <v>38.200000000000003</v>
      </c>
      <c r="AV107" s="82">
        <f>IF(AV$63,42.56,NA())</f>
        <v>42.56</v>
      </c>
      <c r="AW107" s="82" t="e">
        <f>IF(AW$63,69.87,NA())</f>
        <v>#N/A</v>
      </c>
      <c r="AX107" s="82" t="e">
        <f>IF(AX$63,27.21,NA())</f>
        <v>#N/A</v>
      </c>
      <c r="AY107" s="82" t="e">
        <f>IF(AY$63,60.67,NA())</f>
        <v>#N/A</v>
      </c>
    </row>
    <row r="108" spans="1:51" x14ac:dyDescent="0.3">
      <c r="A108" s="81" t="s">
        <v>123</v>
      </c>
      <c r="B108" s="82">
        <f>IF(B$63,147.99,NA())</f>
        <v>147.99</v>
      </c>
      <c r="C108" s="82">
        <f>IF(C$63,55.15,NA())</f>
        <v>55.15</v>
      </c>
      <c r="D108" s="82">
        <f>IF(D$63,116.2,NA())</f>
        <v>116.2</v>
      </c>
      <c r="E108" s="82">
        <f>IF(E$63,54.56,NA())</f>
        <v>54.56</v>
      </c>
      <c r="F108" s="82">
        <f>IF(F$63,67.68,NA())</f>
        <v>67.680000000000007</v>
      </c>
      <c r="G108" s="82">
        <f>IF(G$63,41.73,NA())</f>
        <v>41.73</v>
      </c>
      <c r="H108" s="82" t="e">
        <f>IF(H$63,70.69,NA())</f>
        <v>#N/A</v>
      </c>
      <c r="I108" s="82" t="e">
        <f>IF(I$63,54.33,NA())</f>
        <v>#N/A</v>
      </c>
      <c r="J108" s="82" t="e">
        <f>NA()</f>
        <v>#N/A</v>
      </c>
      <c r="K108" s="82" t="e">
        <f>IF(K$63,71.37,NA())</f>
        <v>#N/A</v>
      </c>
      <c r="L108" s="82" t="e">
        <f>IF(L$63,43.07,NA())</f>
        <v>#N/A</v>
      </c>
      <c r="M108" s="82" t="e">
        <f>IF(M$63,104.22,NA())</f>
        <v>#N/A</v>
      </c>
      <c r="N108" s="82" t="e">
        <f>IF(N$63,71.01,NA())</f>
        <v>#N/A</v>
      </c>
      <c r="O108" s="82">
        <f>IF(O$63,35.97,NA())</f>
        <v>35.97</v>
      </c>
      <c r="P108" s="82" t="e">
        <f>IF(P$63,35.32,NA())</f>
        <v>#N/A</v>
      </c>
      <c r="Q108" s="82" t="e">
        <f>IF(Q$63,56.44,NA())</f>
        <v>#N/A</v>
      </c>
      <c r="R108" s="82">
        <f>IF(R$63,45.48,NA())</f>
        <v>45.48</v>
      </c>
      <c r="S108" s="82" t="e">
        <f>IF(S$63,90.18,NA())</f>
        <v>#N/A</v>
      </c>
      <c r="T108" s="82" t="e">
        <f>IF(T$63,61.18,NA())</f>
        <v>#N/A</v>
      </c>
      <c r="U108" s="82" t="e">
        <f>IF(U$63,102.93,NA())</f>
        <v>#N/A</v>
      </c>
      <c r="V108" s="82">
        <f>IF(V$63,36.85,NA())</f>
        <v>36.85</v>
      </c>
      <c r="W108" s="82" t="e">
        <f>IF(W$63,73.2,NA())</f>
        <v>#N/A</v>
      </c>
      <c r="X108" s="82" t="e">
        <f>IF(X$63,64.56,NA())</f>
        <v>#N/A</v>
      </c>
      <c r="Y108" s="82" t="e">
        <f>IF(Y$63,48.86,NA())</f>
        <v>#N/A</v>
      </c>
      <c r="Z108" s="82" t="e">
        <f>IF(Z$63,69.51,NA())</f>
        <v>#N/A</v>
      </c>
      <c r="AA108" s="82" t="e">
        <f>IF(AA$63,55.1,NA())</f>
        <v>#N/A</v>
      </c>
      <c r="AB108" s="82" t="e">
        <f>NA()</f>
        <v>#N/A</v>
      </c>
      <c r="AC108" s="82" t="e">
        <f>IF(AC$63,64.89,NA())</f>
        <v>#N/A</v>
      </c>
      <c r="AD108" s="82" t="e">
        <f>IF(AD$63,65.47,NA())</f>
        <v>#N/A</v>
      </c>
      <c r="AE108" s="82" t="e">
        <f>IF(AE$63,63.23,NA())</f>
        <v>#N/A</v>
      </c>
      <c r="AF108" s="82" t="e">
        <f>IF(AF$63,52.05,NA())</f>
        <v>#N/A</v>
      </c>
      <c r="AG108" s="82" t="e">
        <f>IF(AG$63,54.39,NA())</f>
        <v>#N/A</v>
      </c>
      <c r="AH108" s="82" t="e">
        <f>IF(AH$63,44.25,NA())</f>
        <v>#N/A</v>
      </c>
      <c r="AI108" s="82">
        <f>IF(AI$63,35.41,NA())</f>
        <v>35.409999999999997</v>
      </c>
      <c r="AJ108" s="82" t="e">
        <f>IF(AJ$63,98.01,NA())</f>
        <v>#N/A</v>
      </c>
      <c r="AK108" s="82" t="e">
        <f>IF(AK$63,68.45,NA())</f>
        <v>#N/A</v>
      </c>
      <c r="AL108" s="82">
        <f>IF(AL$63,39.62,NA())</f>
        <v>39.619999999999997</v>
      </c>
      <c r="AM108" s="82" t="e">
        <f>IF(AM$63,24.11,NA())</f>
        <v>#N/A</v>
      </c>
      <c r="AN108" s="82" t="e">
        <f>IF(AN$63,64.75,NA())</f>
        <v>#N/A</v>
      </c>
      <c r="AO108" s="82" t="e">
        <f>IF(AO$63,44.44,NA())</f>
        <v>#N/A</v>
      </c>
      <c r="AP108" s="82" t="e">
        <f>IF(AP$63,53.97,NA())</f>
        <v>#N/A</v>
      </c>
      <c r="AQ108" s="82" t="e">
        <f>IF(AQ$63,49.48,NA())</f>
        <v>#N/A</v>
      </c>
      <c r="AR108" s="82" t="e">
        <f>IF(AR$63,35.97,NA())</f>
        <v>#N/A</v>
      </c>
      <c r="AS108" s="82" t="e">
        <f>IF(AS$63,52.37,NA())</f>
        <v>#N/A</v>
      </c>
      <c r="AT108" s="82" t="e">
        <f>IF(AT$63,61.5,NA())</f>
        <v>#N/A</v>
      </c>
      <c r="AU108" s="82">
        <f>IF(AU$63,37.24,NA())</f>
        <v>37.24</v>
      </c>
      <c r="AV108" s="82">
        <f>IF(AV$63,44.26,NA())</f>
        <v>44.26</v>
      </c>
      <c r="AW108" s="82" t="e">
        <f>IF(AW$63,68.87,NA())</f>
        <v>#N/A</v>
      </c>
      <c r="AX108" s="82" t="e">
        <f>IF(AX$63,27.21,NA())</f>
        <v>#N/A</v>
      </c>
      <c r="AY108" s="82" t="e">
        <f>IF(AY$63,62.49,NA())</f>
        <v>#N/A</v>
      </c>
    </row>
    <row r="109" spans="1:51" x14ac:dyDescent="0.3">
      <c r="A109" s="81" t="s">
        <v>124</v>
      </c>
      <c r="B109" s="82">
        <f>IF(B$63,145.71,NA())</f>
        <v>145.71</v>
      </c>
      <c r="C109" s="82">
        <f>IF(C$63,52.61,NA())</f>
        <v>52.61</v>
      </c>
      <c r="D109" s="82">
        <f>IF(D$63,115.13,NA())</f>
        <v>115.13</v>
      </c>
      <c r="E109" s="82">
        <f>IF(E$63,57.32,NA())</f>
        <v>57.32</v>
      </c>
      <c r="F109" s="82">
        <f>IF(F$63,67.68,NA())</f>
        <v>67.680000000000007</v>
      </c>
      <c r="G109" s="82">
        <f>IF(G$63,42.45,NA())</f>
        <v>42.45</v>
      </c>
      <c r="H109" s="82" t="e">
        <f>IF(H$63,74.08,NA())</f>
        <v>#N/A</v>
      </c>
      <c r="I109" s="82" t="e">
        <f>IF(I$63,55.79,NA())</f>
        <v>#N/A</v>
      </c>
      <c r="J109" s="82" t="e">
        <f>NA()</f>
        <v>#N/A</v>
      </c>
      <c r="K109" s="82" t="e">
        <f>IF(K$63,74.26,NA())</f>
        <v>#N/A</v>
      </c>
      <c r="L109" s="82" t="e">
        <f>IF(L$63,45.27,NA())</f>
        <v>#N/A</v>
      </c>
      <c r="M109" s="82" t="e">
        <f>IF(M$63,107.25,NA())</f>
        <v>#N/A</v>
      </c>
      <c r="N109" s="82" t="e">
        <f>IF(N$63,67.99,NA())</f>
        <v>#N/A</v>
      </c>
      <c r="O109" s="82">
        <f>IF(O$63,37.91,NA())</f>
        <v>37.909999999999997</v>
      </c>
      <c r="P109" s="82" t="e">
        <f>IF(P$63,35.76,NA())</f>
        <v>#N/A</v>
      </c>
      <c r="Q109" s="82" t="e">
        <f>IF(Q$63,56.44,NA())</f>
        <v>#N/A</v>
      </c>
      <c r="R109" s="82">
        <f>IF(R$63,46.96,NA())</f>
        <v>46.96</v>
      </c>
      <c r="S109" s="82" t="e">
        <f>IF(S$63,89.99,NA())</f>
        <v>#N/A</v>
      </c>
      <c r="T109" s="82" t="e">
        <f>IF(T$63,62.82,NA())</f>
        <v>#N/A</v>
      </c>
      <c r="U109" s="82" t="e">
        <f>IF(U$63,102.93,NA())</f>
        <v>#N/A</v>
      </c>
      <c r="V109" s="82">
        <f>IF(V$63,39.48,NA())</f>
        <v>39.479999999999997</v>
      </c>
      <c r="W109" s="82" t="e">
        <f>IF(W$63,76.76,NA())</f>
        <v>#N/A</v>
      </c>
      <c r="X109" s="82" t="e">
        <f>IF(X$63,64.99,NA())</f>
        <v>#N/A</v>
      </c>
      <c r="Y109" s="82" t="e">
        <f>IF(Y$63,47.1,NA())</f>
        <v>#N/A</v>
      </c>
      <c r="Z109" s="82" t="e">
        <f>IF(Z$63,67.36,NA())</f>
        <v>#N/A</v>
      </c>
      <c r="AA109" s="82" t="e">
        <f>IF(AA$63,57.14,NA())</f>
        <v>#N/A</v>
      </c>
      <c r="AB109" s="82" t="e">
        <f>NA()</f>
        <v>#N/A</v>
      </c>
      <c r="AC109" s="82" t="e">
        <f>IF(AC$63,65.3,NA())</f>
        <v>#N/A</v>
      </c>
      <c r="AD109" s="82" t="e">
        <f>IF(AD$63,63.54,NA())</f>
        <v>#N/A</v>
      </c>
      <c r="AE109" s="82" t="e">
        <f>IF(AE$63,63.23,NA())</f>
        <v>#N/A</v>
      </c>
      <c r="AF109" s="82" t="e">
        <f>IF(AF$63,51.13,NA())</f>
        <v>#N/A</v>
      </c>
      <c r="AG109" s="82" t="e">
        <f>IF(AG$63,52.9,NA())</f>
        <v>#N/A</v>
      </c>
      <c r="AH109" s="82" t="e">
        <f>IF(AH$63,43.74,NA())</f>
        <v>#N/A</v>
      </c>
      <c r="AI109" s="82">
        <f>IF(AI$63,35.41,NA())</f>
        <v>35.409999999999997</v>
      </c>
      <c r="AJ109" s="82" t="e">
        <f>IF(AJ$63,98.44,NA())</f>
        <v>#N/A</v>
      </c>
      <c r="AK109" s="82" t="e">
        <f>IF(AK$63,68.67,NA())</f>
        <v>#N/A</v>
      </c>
      <c r="AL109" s="82">
        <f>IF(AL$63,37.63,NA())</f>
        <v>37.630000000000003</v>
      </c>
      <c r="AM109" s="82" t="e">
        <f>IF(AM$63,21.36,NA())</f>
        <v>#N/A</v>
      </c>
      <c r="AN109" s="82" t="e">
        <f>IF(AN$63,64.49,NA())</f>
        <v>#N/A</v>
      </c>
      <c r="AO109" s="82" t="e">
        <f>IF(AO$63,45.83,NA())</f>
        <v>#N/A</v>
      </c>
      <c r="AP109" s="82" t="e">
        <f>IF(AP$63,54.49,NA())</f>
        <v>#N/A</v>
      </c>
      <c r="AQ109" s="82" t="e">
        <f>IF(AQ$63,53.42,NA())</f>
        <v>#N/A</v>
      </c>
      <c r="AR109" s="82" t="e">
        <f>IF(AR$63,33.16,NA())</f>
        <v>#N/A</v>
      </c>
      <c r="AS109" s="82" t="e">
        <f>IF(AS$63,52.03,NA())</f>
        <v>#N/A</v>
      </c>
      <c r="AT109" s="82" t="e">
        <f>IF(AT$63,61.5,NA())</f>
        <v>#N/A</v>
      </c>
      <c r="AU109" s="82">
        <f>IF(AU$63,36.29,NA())</f>
        <v>36.29</v>
      </c>
      <c r="AV109" s="82">
        <f>IF(AV$63,44.26,NA())</f>
        <v>44.26</v>
      </c>
      <c r="AW109" s="82" t="e">
        <f>IF(AW$63,62.88,NA())</f>
        <v>#N/A</v>
      </c>
      <c r="AX109" s="82" t="e">
        <f>IF(AX$63,28.06,NA())</f>
        <v>#N/A</v>
      </c>
      <c r="AY109" s="82" t="e">
        <f>IF(AY$63,61.88,NA())</f>
        <v>#N/A</v>
      </c>
    </row>
    <row r="110" spans="1:51" x14ac:dyDescent="0.3">
      <c r="A110" s="81" t="s">
        <v>125</v>
      </c>
      <c r="B110" s="82">
        <f>IF(B$63,147.99,NA())</f>
        <v>147.99</v>
      </c>
      <c r="C110" s="82">
        <f>IF(C$63,50.07,NA())</f>
        <v>50.07</v>
      </c>
      <c r="D110" s="82">
        <f>IF(D$63,113.34,NA())</f>
        <v>113.34</v>
      </c>
      <c r="E110" s="82">
        <f>IF(E$63,62.85,NA())</f>
        <v>62.85</v>
      </c>
      <c r="F110" s="82">
        <f>IF(F$63,65.76,NA())</f>
        <v>65.760000000000005</v>
      </c>
      <c r="G110" s="82">
        <f>IF(G$63,42.99,NA())</f>
        <v>42.99</v>
      </c>
      <c r="H110" s="82" t="e">
        <f>IF(H$63,74.56,NA())</f>
        <v>#N/A</v>
      </c>
      <c r="I110" s="82" t="e">
        <f>IF(I$63,57.65,NA())</f>
        <v>#N/A</v>
      </c>
      <c r="J110" s="82" t="e">
        <f>NA()</f>
        <v>#N/A</v>
      </c>
      <c r="K110" s="82" t="e">
        <f>IF(K$63,77.52,NA())</f>
        <v>#N/A</v>
      </c>
      <c r="L110" s="82" t="e">
        <f>IF(L$63,45.27,NA())</f>
        <v>#N/A</v>
      </c>
      <c r="M110" s="82" t="e">
        <f>IF(M$63,108.35,NA())</f>
        <v>#N/A</v>
      </c>
      <c r="N110" s="82" t="e">
        <f>IF(N$63,62.7,NA())</f>
        <v>#N/A</v>
      </c>
      <c r="O110" s="82">
        <f>IF(O$63,42.94,NA())</f>
        <v>42.94</v>
      </c>
      <c r="P110" s="82" t="e">
        <f>IF(P$63,36.21,NA())</f>
        <v>#N/A</v>
      </c>
      <c r="Q110" s="82" t="e">
        <f>IF(Q$63,55.5,NA())</f>
        <v>#N/A</v>
      </c>
      <c r="R110" s="82">
        <f>IF(R$63,49.09,NA())</f>
        <v>49.09</v>
      </c>
      <c r="S110" s="82" t="e">
        <f>IF(S$63,86.43,NA())</f>
        <v>#N/A</v>
      </c>
      <c r="T110" s="82" t="e">
        <f>IF(T$63,62.23,NA())</f>
        <v>#N/A</v>
      </c>
      <c r="U110" s="82" t="e">
        <f>IF(U$63,106.95,NA())</f>
        <v>#N/A</v>
      </c>
      <c r="V110" s="82">
        <f>IF(V$63,38.6,NA())</f>
        <v>38.6</v>
      </c>
      <c r="W110" s="82" t="e">
        <f>IF(W$63,77.18,NA())</f>
        <v>#N/A</v>
      </c>
      <c r="X110" s="82" t="e">
        <f>IF(X$63,63.7,NA())</f>
        <v>#N/A</v>
      </c>
      <c r="Y110" s="82" t="e">
        <f>IF(Y$63,44.15,NA())</f>
        <v>#N/A</v>
      </c>
      <c r="Z110" s="82" t="e">
        <f>IF(Z$63,65.21,NA())</f>
        <v>#N/A</v>
      </c>
      <c r="AA110" s="82" t="e">
        <f>IF(AA$63,61.9,NA())</f>
        <v>#N/A</v>
      </c>
      <c r="AB110" s="82" t="e">
        <f>NA()</f>
        <v>#N/A</v>
      </c>
      <c r="AC110" s="82" t="e">
        <f>IF(AC$63,63.67,NA())</f>
        <v>#N/A</v>
      </c>
      <c r="AD110" s="82" t="e">
        <f>IF(AD$63,58.73,NA())</f>
        <v>#N/A</v>
      </c>
      <c r="AE110" s="82" t="e">
        <f>IF(AE$63,63.08,NA())</f>
        <v>#N/A</v>
      </c>
      <c r="AF110" s="82" t="e">
        <f>IF(AF$63,54.79,NA())</f>
        <v>#N/A</v>
      </c>
      <c r="AG110" s="82" t="e">
        <f>IF(AG$63,54.39,NA())</f>
        <v>#N/A</v>
      </c>
      <c r="AH110" s="82" t="e">
        <f>IF(AH$63,41.16,NA())</f>
        <v>#N/A</v>
      </c>
      <c r="AI110" s="82">
        <f>IF(AI$63,37.67,NA())</f>
        <v>37.67</v>
      </c>
      <c r="AJ110" s="82" t="e">
        <f>IF(AJ$63,96.3,NA())</f>
        <v>#N/A</v>
      </c>
      <c r="AK110" s="82" t="e">
        <f>IF(AK$63,70.07,NA())</f>
        <v>#N/A</v>
      </c>
      <c r="AL110" s="82">
        <f>IF(AL$63,39.29,NA())</f>
        <v>39.29</v>
      </c>
      <c r="AM110" s="82" t="e">
        <f>IF(AM$63,20.67,NA())</f>
        <v>#N/A</v>
      </c>
      <c r="AN110" s="82" t="e">
        <f>IF(AN$63,64.87,NA())</f>
        <v>#N/A</v>
      </c>
      <c r="AO110" s="82" t="e">
        <f>IF(AO$63,45.09,NA())</f>
        <v>#N/A</v>
      </c>
      <c r="AP110" s="82" t="e">
        <f>IF(AP$63,53.97,NA())</f>
        <v>#N/A</v>
      </c>
      <c r="AQ110" s="82" t="e">
        <f>IF(AQ$63,52.24,NA())</f>
        <v>#N/A</v>
      </c>
      <c r="AR110" s="82" t="e">
        <f>IF(AR$63,32.03,NA())</f>
        <v>#N/A</v>
      </c>
      <c r="AS110" s="82" t="e">
        <f>IF(AS$63,51.35,NA())</f>
        <v>#N/A</v>
      </c>
      <c r="AT110" s="82" t="e">
        <f>IF(AT$63,61.83,NA())</f>
        <v>#N/A</v>
      </c>
      <c r="AU110" s="82">
        <f>IF(AU$63,36.29,NA())</f>
        <v>36.29</v>
      </c>
      <c r="AV110" s="82">
        <f>IF(AV$63,46.39,NA())</f>
        <v>46.39</v>
      </c>
      <c r="AW110" s="82" t="e">
        <f>IF(AW$63,63.88,NA())</f>
        <v>#N/A</v>
      </c>
      <c r="AX110" s="82" t="e">
        <f>IF(AX$63,31.46,NA())</f>
        <v>#N/A</v>
      </c>
      <c r="AY110" s="82" t="e">
        <f>IF(AY$63,58.86,NA())</f>
        <v>#N/A</v>
      </c>
    </row>
    <row r="111" spans="1:51" x14ac:dyDescent="0.3">
      <c r="A111" s="81" t="s">
        <v>126</v>
      </c>
      <c r="B111" s="82">
        <f>IF(B$63,151.86,NA())</f>
        <v>151.86000000000001</v>
      </c>
      <c r="C111" s="82">
        <f>IF(C$63,51.34,NA())</f>
        <v>51.34</v>
      </c>
      <c r="D111" s="82">
        <f>IF(D$63,110.84,NA())</f>
        <v>110.84</v>
      </c>
      <c r="E111" s="82">
        <f>IF(E$63,64.23,NA())</f>
        <v>64.23</v>
      </c>
      <c r="F111" s="82">
        <f>IF(F$63,67.2,NA())</f>
        <v>67.2</v>
      </c>
      <c r="G111" s="82">
        <f>IF(G$63,41.01,NA())</f>
        <v>41.01</v>
      </c>
      <c r="H111" s="82" t="e">
        <f>IF(H$63,76.73,NA())</f>
        <v>#N/A</v>
      </c>
      <c r="I111" s="82" t="e">
        <f>IF(I$63,59.25,NA())</f>
        <v>#N/A</v>
      </c>
      <c r="J111" s="82" t="e">
        <f>NA()</f>
        <v>#N/A</v>
      </c>
      <c r="K111" s="82" t="e">
        <f>IF(K$63,81.67,NA())</f>
        <v>#N/A</v>
      </c>
      <c r="L111" s="82" t="e">
        <f>IF(L$63,45.81,NA())</f>
        <v>#N/A</v>
      </c>
      <c r="M111" s="82" t="e">
        <f>IF(M$63,106.7,NA())</f>
        <v>#N/A</v>
      </c>
      <c r="N111" s="82" t="e">
        <f>IF(N$63,64.96,NA())</f>
        <v>#N/A</v>
      </c>
      <c r="O111" s="82">
        <f>IF(O$63,42.55,NA())</f>
        <v>42.55</v>
      </c>
      <c r="P111" s="82" t="e">
        <f>IF(P$63,36.65,NA())</f>
        <v>#N/A</v>
      </c>
      <c r="Q111" s="82" t="e">
        <f>IF(Q$63,62.09,NA())</f>
        <v>#N/A</v>
      </c>
      <c r="R111" s="82">
        <f>IF(R$63,49.41,NA())</f>
        <v>49.41</v>
      </c>
      <c r="S111" s="82" t="e">
        <f>IF(S$63,85.64,NA())</f>
        <v>#N/A</v>
      </c>
      <c r="T111" s="82" t="e">
        <f>IF(T$63,60.89,NA())</f>
        <v>#N/A</v>
      </c>
      <c r="U111" s="82" t="e">
        <f>IF(U$63,107.53,NA())</f>
        <v>#N/A</v>
      </c>
      <c r="V111" s="82">
        <f>IF(V$63,42.99,NA())</f>
        <v>42.99</v>
      </c>
      <c r="W111" s="82" t="e">
        <f>IF(W$63,76.63,NA())</f>
        <v>#N/A</v>
      </c>
      <c r="X111" s="82" t="e">
        <f>IF(X$63,65.07,NA())</f>
        <v>#N/A</v>
      </c>
      <c r="Y111" s="82" t="e">
        <f>IF(Y$63,41.8,NA())</f>
        <v>#N/A</v>
      </c>
      <c r="Z111" s="82" t="e">
        <f>IF(Z$63,63.77,NA())</f>
        <v>#N/A</v>
      </c>
      <c r="AA111" s="82" t="e">
        <f>IF(AA$63,60.54,NA())</f>
        <v>#N/A</v>
      </c>
      <c r="AB111" s="82" t="e">
        <f>NA()</f>
        <v>#N/A</v>
      </c>
      <c r="AC111" s="82" t="e">
        <f>IF(AC$63,61.02,NA())</f>
        <v>#N/A</v>
      </c>
      <c r="AD111" s="82" t="e">
        <f>IF(AD$63,58.73,NA())</f>
        <v>#N/A</v>
      </c>
      <c r="AE111" s="82" t="e">
        <f>IF(AE$63,61.23,NA())</f>
        <v>#N/A</v>
      </c>
      <c r="AF111" s="82" t="e">
        <f>IF(AF$63,51.13,NA())</f>
        <v>#N/A</v>
      </c>
      <c r="AG111" s="82" t="e">
        <f>IF(AG$63,49.17,NA())</f>
        <v>#N/A</v>
      </c>
      <c r="AH111" s="82" t="e">
        <f>IF(AH$63,40.65,NA())</f>
        <v>#N/A</v>
      </c>
      <c r="AI111" s="82">
        <f>IF(AI$63,36.16,NA())</f>
        <v>36.159999999999997</v>
      </c>
      <c r="AJ111" s="82" t="e">
        <f>IF(AJ$63,95.87,NA())</f>
        <v>#N/A</v>
      </c>
      <c r="AK111" s="82" t="e">
        <f>IF(AK$63,69.1,NA())</f>
        <v>#N/A</v>
      </c>
      <c r="AL111" s="82">
        <f>IF(AL$63,40.28,NA())</f>
        <v>40.28</v>
      </c>
      <c r="AM111" s="82" t="e">
        <f>IF(AM$63,20.67,NA())</f>
        <v>#N/A</v>
      </c>
      <c r="AN111" s="82" t="e">
        <f>IF(AN$63,63.23,NA())</f>
        <v>#N/A</v>
      </c>
      <c r="AO111" s="82" t="e">
        <f>IF(AO$63,45.18,NA())</f>
        <v>#N/A</v>
      </c>
      <c r="AP111" s="82" t="e">
        <f>IF(AP$63,56.05,NA())</f>
        <v>#N/A</v>
      </c>
      <c r="AQ111" s="82" t="e">
        <f>IF(AQ$63,52.83,NA())</f>
        <v>#N/A</v>
      </c>
      <c r="AR111" s="82" t="e">
        <f>IF(AR$63,30.35,NA())</f>
        <v>#N/A</v>
      </c>
      <c r="AS111" s="82" t="e">
        <f>IF(AS$63,50.16,NA())</f>
        <v>#N/A</v>
      </c>
      <c r="AT111" s="82" t="e">
        <f>IF(AT$63,60.73,NA())</f>
        <v>#N/A</v>
      </c>
      <c r="AU111" s="82">
        <f>IF(AU$63,35.33,NA())</f>
        <v>35.33</v>
      </c>
      <c r="AV111" s="82">
        <f>IF(AV$63,46.82,NA())</f>
        <v>46.82</v>
      </c>
      <c r="AW111" s="82" t="e">
        <f>IF(AW$63,61.89,NA())</f>
        <v>#N/A</v>
      </c>
      <c r="AX111" s="82" t="e">
        <f>IF(AX$63,34.01,NA())</f>
        <v>#N/A</v>
      </c>
      <c r="AY111" s="82" t="e">
        <f>IF(AY$63,60.07,NA())</f>
        <v>#N/A</v>
      </c>
    </row>
    <row r="112" spans="1:51" x14ac:dyDescent="0.3">
      <c r="A112" s="81" t="s">
        <v>127</v>
      </c>
      <c r="B112" s="82">
        <f>IF(B$63,149.22,NA())</f>
        <v>149.22</v>
      </c>
      <c r="C112" s="82">
        <f>IF(C$63,50.71,NA())</f>
        <v>50.71</v>
      </c>
      <c r="D112" s="82">
        <f>IF(D$63,110.12,NA())</f>
        <v>110.12</v>
      </c>
      <c r="E112" s="82">
        <f>IF(E$63,67.33,NA())</f>
        <v>67.33</v>
      </c>
      <c r="F112" s="82">
        <f>IF(F$63,66.72,NA())</f>
        <v>66.72</v>
      </c>
      <c r="G112" s="82">
        <f>IF(G$63,40.65,NA())</f>
        <v>40.65</v>
      </c>
      <c r="H112" s="82" t="e">
        <f>IF(H$63,76.98,NA())</f>
        <v>#N/A</v>
      </c>
      <c r="I112" s="82" t="e">
        <f>IF(I$63,58.45,NA())</f>
        <v>#N/A</v>
      </c>
      <c r="J112" s="82" t="e">
        <f>NA()</f>
        <v>#N/A</v>
      </c>
      <c r="K112" s="82" t="e">
        <f>IF(K$63,79.78,NA())</f>
        <v>#N/A</v>
      </c>
      <c r="L112" s="82" t="e">
        <f>IF(L$63,47.87,NA())</f>
        <v>#N/A</v>
      </c>
      <c r="M112" s="82" t="e">
        <f>IF(M$63,105.87,NA())</f>
        <v>#N/A</v>
      </c>
      <c r="N112" s="82" t="e">
        <f>IF(N$63,62.7,NA())</f>
        <v>#N/A</v>
      </c>
      <c r="O112" s="82">
        <f>IF(O$63,42.55,NA())</f>
        <v>42.55</v>
      </c>
      <c r="P112" s="82" t="e">
        <f>IF(P$63,35.76,NA())</f>
        <v>#N/A</v>
      </c>
      <c r="Q112" s="82" t="e">
        <f>IF(Q$63,55.5,NA())</f>
        <v>#N/A</v>
      </c>
      <c r="R112" s="82">
        <f>IF(R$63,49.83,NA())</f>
        <v>49.83</v>
      </c>
      <c r="S112" s="82" t="e">
        <f>IF(S$63,84.66,NA())</f>
        <v>#N/A</v>
      </c>
      <c r="T112" s="82" t="e">
        <f>IF(T$63,58.95,NA())</f>
        <v>#N/A</v>
      </c>
      <c r="U112" s="82" t="e">
        <f>IF(U$63,108.68,NA())</f>
        <v>#N/A</v>
      </c>
      <c r="V112" s="82">
        <f>IF(V$63,46.5,NA())</f>
        <v>46.5</v>
      </c>
      <c r="W112" s="82" t="e">
        <f>IF(W$63,74.02,NA())</f>
        <v>#N/A</v>
      </c>
      <c r="X112" s="82" t="e">
        <f>IF(X$63,64.56,NA())</f>
        <v>#N/A</v>
      </c>
      <c r="Y112" s="82" t="e">
        <f>IF(Y$63,40.62,NA())</f>
        <v>#N/A</v>
      </c>
      <c r="Z112" s="82" t="e">
        <f>IF(Z$63,61.98,NA())</f>
        <v>#N/A</v>
      </c>
      <c r="AA112" s="82" t="e">
        <f>IF(AA$63,59.18,NA())</f>
        <v>#N/A</v>
      </c>
      <c r="AB112" s="82" t="e">
        <f>NA()</f>
        <v>#N/A</v>
      </c>
      <c r="AC112" s="82" t="e">
        <f>IF(AC$63,60.61,NA())</f>
        <v>#N/A</v>
      </c>
      <c r="AD112" s="82" t="e">
        <f>IF(AD$63,56.81,NA())</f>
        <v>#N/A</v>
      </c>
      <c r="AE112" s="82" t="e">
        <f>IF(AE$63,60.8,NA())</f>
        <v>#N/A</v>
      </c>
      <c r="AF112" s="82" t="e">
        <f>IF(AF$63,50.22,NA())</f>
        <v>#N/A</v>
      </c>
      <c r="AG112" s="82" t="e">
        <f>IF(AG$63,46.19,NA())</f>
        <v>#N/A</v>
      </c>
      <c r="AH112" s="82" t="e">
        <f>IF(AH$63,39.11,NA())</f>
        <v>#N/A</v>
      </c>
      <c r="AI112" s="82">
        <f>IF(AI$63,37.67,NA())</f>
        <v>37.67</v>
      </c>
      <c r="AJ112" s="82" t="e">
        <f>IF(AJ$63,95.44,NA())</f>
        <v>#N/A</v>
      </c>
      <c r="AK112" s="82" t="e">
        <f>IF(AK$63,70.72,NA())</f>
        <v>#N/A</v>
      </c>
      <c r="AL112" s="82">
        <f>IF(AL$63,40.61,NA())</f>
        <v>40.61</v>
      </c>
      <c r="AM112" s="82" t="e">
        <f>IF(AM$63,22.04,NA())</f>
        <v>#N/A</v>
      </c>
      <c r="AN112" s="82" t="e">
        <f>IF(AN$63,62.23,NA())</f>
        <v>#N/A</v>
      </c>
      <c r="AO112" s="82" t="e">
        <f>IF(AO$63,44.9,NA())</f>
        <v>#N/A</v>
      </c>
      <c r="AP112" s="82" t="e">
        <f>IF(AP$63,55.53,NA())</f>
        <v>#N/A</v>
      </c>
      <c r="AQ112" s="82" t="e">
        <f>IF(AQ$63,50.47,NA())</f>
        <v>#N/A</v>
      </c>
      <c r="AR112" s="82" t="e">
        <f>IF(AR$63,30.91,NA())</f>
        <v>#N/A</v>
      </c>
      <c r="AS112" s="82" t="e">
        <f>IF(AS$63,50.84,NA())</f>
        <v>#N/A</v>
      </c>
      <c r="AT112" s="82" t="e">
        <f>IF(AT$63,58.87,NA())</f>
        <v>#N/A</v>
      </c>
      <c r="AU112" s="82">
        <f>IF(AU$63,33.42,NA())</f>
        <v>33.42</v>
      </c>
      <c r="AV112" s="82">
        <f>IF(AV$63,46.82,NA())</f>
        <v>46.82</v>
      </c>
      <c r="AW112" s="82" t="e">
        <f>IF(AW$63,58.89,NA())</f>
        <v>#N/A</v>
      </c>
      <c r="AX112" s="82" t="e">
        <f>IF(AX$63,35.71,NA())</f>
        <v>#N/A</v>
      </c>
      <c r="AY112" s="82" t="e">
        <f>IF(AY$63,60.37,NA())</f>
        <v>#N/A</v>
      </c>
    </row>
    <row r="113" spans="1:51" x14ac:dyDescent="0.3">
      <c r="A113" s="81" t="s">
        <v>128</v>
      </c>
      <c r="B113" s="82">
        <f>IF(B$63,148.87,NA())</f>
        <v>148.87</v>
      </c>
      <c r="C113" s="82">
        <f>IF(C$63,54.51,NA())</f>
        <v>54.51</v>
      </c>
      <c r="D113" s="82">
        <f>IF(D$63,109.05,NA())</f>
        <v>109.05</v>
      </c>
      <c r="E113" s="82">
        <f>IF(E$63,71.48,NA())</f>
        <v>71.48</v>
      </c>
      <c r="F113" s="82">
        <f>IF(F$63,65.28,NA())</f>
        <v>65.28</v>
      </c>
      <c r="G113" s="82">
        <f>IF(G$63,41.91,NA())</f>
        <v>41.91</v>
      </c>
      <c r="H113" s="82" t="e">
        <f>IF(H$63,74.68,NA())</f>
        <v>#N/A</v>
      </c>
      <c r="I113" s="82" t="e">
        <f>IF(I$63,57.12,NA())</f>
        <v>#N/A</v>
      </c>
      <c r="J113" s="82" t="e">
        <f>NA()</f>
        <v>#N/A</v>
      </c>
      <c r="K113" s="82" t="e">
        <f>IF(K$63,80.04,NA())</f>
        <v>#N/A</v>
      </c>
      <c r="L113" s="82" t="e">
        <f>IF(L$63,48.7,NA())</f>
        <v>#N/A</v>
      </c>
      <c r="M113" s="82" t="e">
        <f>IF(M$63,103.94,NA())</f>
        <v>#N/A</v>
      </c>
      <c r="N113" s="82" t="e">
        <f>IF(N$63,57.41,NA())</f>
        <v>#N/A</v>
      </c>
      <c r="O113" s="82">
        <f>IF(O$63,41.78,NA())</f>
        <v>41.78</v>
      </c>
      <c r="P113" s="82" t="e">
        <f>IF(P$63,36.65,NA())</f>
        <v>#N/A</v>
      </c>
      <c r="Q113" s="82" t="e">
        <f>IF(Q$63,57.38,NA())</f>
        <v>#N/A</v>
      </c>
      <c r="R113" s="82">
        <f>IF(R$63,48.66,NA())</f>
        <v>48.66</v>
      </c>
      <c r="S113" s="82" t="e">
        <f>IF(S$63,84.85,NA())</f>
        <v>#N/A</v>
      </c>
      <c r="T113" s="82" t="e">
        <f>IF(T$63,58.36,NA())</f>
        <v>#N/A</v>
      </c>
      <c r="U113" s="82" t="e">
        <f>IF(U$63,110.4,NA())</f>
        <v>#N/A</v>
      </c>
      <c r="V113" s="82">
        <f>IF(V$63,44.74,NA())</f>
        <v>44.74</v>
      </c>
      <c r="W113" s="82" t="e">
        <f>IF(W$63,73.06,NA())</f>
        <v>#N/A</v>
      </c>
      <c r="X113" s="82" t="e">
        <f>IF(X$63,63.12,NA())</f>
        <v>#N/A</v>
      </c>
      <c r="Y113" s="82" t="e">
        <f>IF(Y$63,41.21,NA())</f>
        <v>#N/A</v>
      </c>
      <c r="Z113" s="82" t="e">
        <f>IF(Z$63,57.32,NA())</f>
        <v>#N/A</v>
      </c>
      <c r="AA113" s="82" t="e">
        <f>IF(AA$63,57.14,NA())</f>
        <v>#N/A</v>
      </c>
      <c r="AB113" s="82" t="e">
        <f>NA()</f>
        <v>#N/A</v>
      </c>
      <c r="AC113" s="82" t="e">
        <f>IF(AC$63,59.19,NA())</f>
        <v>#N/A</v>
      </c>
      <c r="AD113" s="82" t="e">
        <f>IF(AD$63,54.88,NA())</f>
        <v>#N/A</v>
      </c>
      <c r="AE113" s="82" t="e">
        <f>IF(AE$63,60.8,NA())</f>
        <v>#N/A</v>
      </c>
      <c r="AF113" s="82" t="e">
        <f>IF(AF$63,51.13,NA())</f>
        <v>#N/A</v>
      </c>
      <c r="AG113" s="82" t="e">
        <f>IF(AG$63,43.21,NA())</f>
        <v>#N/A</v>
      </c>
      <c r="AH113" s="82" t="e">
        <f>IF(AH$63,39.62,NA())</f>
        <v>#N/A</v>
      </c>
      <c r="AI113" s="82">
        <f>IF(AI$63,40.68,NA())</f>
        <v>40.68</v>
      </c>
      <c r="AJ113" s="82" t="e">
        <f>IF(AJ$63,91.59,NA())</f>
        <v>#N/A</v>
      </c>
      <c r="AK113" s="82" t="e">
        <f>IF(AK$63,69.21,NA())</f>
        <v>#N/A</v>
      </c>
      <c r="AL113" s="82">
        <f>IF(AL$63,39.62,NA())</f>
        <v>39.619999999999997</v>
      </c>
      <c r="AM113" s="82" t="e">
        <f>IF(AM$63,24.8,NA())</f>
        <v>#N/A</v>
      </c>
      <c r="AN113" s="82" t="e">
        <f>IF(AN$63,63.74,NA())</f>
        <v>#N/A</v>
      </c>
      <c r="AO113" s="82" t="e">
        <f>IF(AO$63,43.7,NA())</f>
        <v>#N/A</v>
      </c>
      <c r="AP113" s="82" t="e">
        <f>IF(AP$63,55.53,NA())</f>
        <v>#N/A</v>
      </c>
      <c r="AQ113" s="82" t="e">
        <f>IF(AQ$63,50.47,NA())</f>
        <v>#N/A</v>
      </c>
      <c r="AR113" s="82" t="e">
        <f>IF(AR$63,29.78,NA())</f>
        <v>#N/A</v>
      </c>
      <c r="AS113" s="82" t="e">
        <f>IF(AS$63,48.63,NA())</f>
        <v>#N/A</v>
      </c>
      <c r="AT113" s="82" t="e">
        <f>IF(AT$63,55.9,NA())</f>
        <v>#N/A</v>
      </c>
      <c r="AU113" s="82">
        <f>IF(AU$63,34.38,NA())</f>
        <v>34.380000000000003</v>
      </c>
      <c r="AV113" s="82">
        <f>IF(AV$63,49.8,NA())</f>
        <v>49.8</v>
      </c>
      <c r="AW113" s="82" t="e">
        <f>IF(AW$63,52.9,NA())</f>
        <v>#N/A</v>
      </c>
      <c r="AX113" s="82" t="e">
        <f>IF(AX$63,34.01,NA())</f>
        <v>#N/A</v>
      </c>
      <c r="AY113" s="82" t="e">
        <f>IF(AY$63,60.98,NA())</f>
        <v>#N/A</v>
      </c>
    </row>
    <row r="114" spans="1:51" x14ac:dyDescent="0.3">
      <c r="A114" s="81" t="s">
        <v>129</v>
      </c>
      <c r="B114" s="82">
        <f>IF(B$63,150.98,NA())</f>
        <v>150.97999999999999</v>
      </c>
      <c r="C114" s="82">
        <f>IF(C$63,50.07,NA())</f>
        <v>50.07</v>
      </c>
      <c r="D114" s="82">
        <f>IF(D$63,106.9,NA())</f>
        <v>106.9</v>
      </c>
      <c r="E114" s="82">
        <f>IF(E$63,75.97,NA())</f>
        <v>75.97</v>
      </c>
      <c r="F114" s="82">
        <f>IF(F$63,64.8,NA())</f>
        <v>64.8</v>
      </c>
      <c r="G114" s="82">
        <f>IF(G$63,42.63,NA())</f>
        <v>42.63</v>
      </c>
      <c r="H114" s="82" t="e">
        <f>IF(H$63,72.99,NA())</f>
        <v>#N/A</v>
      </c>
      <c r="I114" s="82" t="e">
        <f>IF(I$63,57.39,NA())</f>
        <v>#N/A</v>
      </c>
      <c r="J114" s="82" t="e">
        <f>NA()</f>
        <v>#N/A</v>
      </c>
      <c r="K114" s="82" t="e">
        <f>IF(K$63,83.93,NA())</f>
        <v>#N/A</v>
      </c>
      <c r="L114" s="82" t="e">
        <f>IF(L$63,48.56,NA())</f>
        <v>#N/A</v>
      </c>
      <c r="M114" s="82" t="e">
        <f>IF(M$63,95.95,NA())</f>
        <v>#N/A</v>
      </c>
      <c r="N114" s="82" t="e">
        <f>IF(N$63,57.41,NA())</f>
        <v>#N/A</v>
      </c>
      <c r="O114" s="82">
        <f>IF(O$63,42.94,NA())</f>
        <v>42.94</v>
      </c>
      <c r="P114" s="82" t="e">
        <f>IF(P$63,37.53,NA())</f>
        <v>#N/A</v>
      </c>
      <c r="Q114" s="82" t="e">
        <f>IF(Q$63,58.32,NA())</f>
        <v>#N/A</v>
      </c>
      <c r="R114" s="82">
        <f>IF(R$63,48.56,NA())</f>
        <v>48.56</v>
      </c>
      <c r="S114" s="82" t="e">
        <f>IF(S$63,84.66,NA())</f>
        <v>#N/A</v>
      </c>
      <c r="T114" s="82" t="e">
        <f>IF(T$63,58.5,NA())</f>
        <v>#N/A</v>
      </c>
      <c r="U114" s="82" t="e">
        <f>IF(U$63,108.1,NA())</f>
        <v>#N/A</v>
      </c>
      <c r="V114" s="82">
        <f>IF(V$63,44.74,NA())</f>
        <v>44.74</v>
      </c>
      <c r="W114" s="82" t="e">
        <f>IF(W$63,72.65,NA())</f>
        <v>#N/A</v>
      </c>
      <c r="X114" s="82" t="e">
        <f>IF(X$63,62.47,NA())</f>
        <v>#N/A</v>
      </c>
      <c r="Y114" s="82" t="e">
        <f>IF(Y$63,40.62,NA())</f>
        <v>#N/A</v>
      </c>
      <c r="Z114" s="82" t="e">
        <f>IF(Z$63,57.68,NA())</f>
        <v>#N/A</v>
      </c>
      <c r="AA114" s="82" t="e">
        <f>IF(AA$63,56.46,NA())</f>
        <v>#N/A</v>
      </c>
      <c r="AB114" s="82" t="e">
        <f>NA()</f>
        <v>#N/A</v>
      </c>
      <c r="AC114" s="82" t="e">
        <f>IF(AC$63,57.46,NA())</f>
        <v>#N/A</v>
      </c>
      <c r="AD114" s="82" t="e">
        <f>IF(AD$63,58.73,NA())</f>
        <v>#N/A</v>
      </c>
      <c r="AE114" s="82" t="e">
        <f>IF(AE$63,59.38,NA())</f>
        <v>#N/A</v>
      </c>
      <c r="AF114" s="82" t="e">
        <f>IF(AF$63,51.13,NA())</f>
        <v>#N/A</v>
      </c>
      <c r="AG114" s="82" t="e">
        <f>IF(AG$63,45.45,NA())</f>
        <v>#N/A</v>
      </c>
      <c r="AH114" s="82" t="e">
        <f>IF(AH$63,37.56,NA())</f>
        <v>#N/A</v>
      </c>
      <c r="AI114" s="82">
        <f>IF(AI$63,41.44,NA())</f>
        <v>41.44</v>
      </c>
      <c r="AJ114" s="82" t="e">
        <f>IF(AJ$63,89.45,NA())</f>
        <v>#N/A</v>
      </c>
      <c r="AK114" s="82" t="e">
        <f>IF(AK$63,67.26,NA())</f>
        <v>#N/A</v>
      </c>
      <c r="AL114" s="82">
        <f>IF(AL$63,39.29,NA())</f>
        <v>39.29</v>
      </c>
      <c r="AM114" s="82" t="e">
        <f>IF(AM$63,25.49,NA())</f>
        <v>#N/A</v>
      </c>
      <c r="AN114" s="82" t="e">
        <f>IF(AN$63,63.23,NA())</f>
        <v>#N/A</v>
      </c>
      <c r="AO114" s="82" t="e">
        <f>IF(AO$63,42.96,NA())</f>
        <v>#N/A</v>
      </c>
      <c r="AP114" s="82" t="e">
        <f>IF(AP$63,52.93,NA())</f>
        <v>#N/A</v>
      </c>
      <c r="AQ114" s="82" t="e">
        <f>IF(AQ$63,50.27,NA())</f>
        <v>#N/A</v>
      </c>
      <c r="AR114" s="82" t="e">
        <f>IF(AR$63,29.78,NA())</f>
        <v>#N/A</v>
      </c>
      <c r="AS114" s="82" t="e">
        <f>IF(AS$63,47.1,NA())</f>
        <v>#N/A</v>
      </c>
      <c r="AT114" s="82" t="e">
        <f>IF(AT$63,55.13,NA())</f>
        <v>#N/A</v>
      </c>
      <c r="AU114" s="82">
        <f>IF(AU$63,33.42,NA())</f>
        <v>33.42</v>
      </c>
      <c r="AV114" s="82">
        <f>IF(AV$63,52.35,NA())</f>
        <v>52.35</v>
      </c>
      <c r="AW114" s="82" t="e">
        <f>IF(AW$63,46.91,NA())</f>
        <v>#N/A</v>
      </c>
      <c r="AX114" s="82" t="e">
        <f>IF(AX$63,34.86,NA())</f>
        <v>#N/A</v>
      </c>
      <c r="AY114" s="82" t="e">
        <f>IF(AY$63,59.47,NA())</f>
        <v>#N/A</v>
      </c>
    </row>
    <row r="115" spans="1:51" x14ac:dyDescent="0.3">
      <c r="A115" s="81" t="s">
        <v>130</v>
      </c>
      <c r="B115" s="82">
        <f>IF(B$63,150.46,NA())</f>
        <v>150.46</v>
      </c>
      <c r="C115" s="82">
        <f>IF(C$63,49.44,NA())</f>
        <v>49.44</v>
      </c>
      <c r="D115" s="82">
        <f>IF(D$63,100.82,NA())</f>
        <v>100.82</v>
      </c>
      <c r="E115" s="82">
        <f>IF(E$63,79.42,NA())</f>
        <v>79.42</v>
      </c>
      <c r="F115" s="82">
        <f>IF(F$63,66.24,NA())</f>
        <v>66.239999999999995</v>
      </c>
      <c r="G115" s="82">
        <f>IF(G$63,44.25,NA())</f>
        <v>44.25</v>
      </c>
      <c r="H115" s="82" t="e">
        <f>IF(H$63,73.59,NA())</f>
        <v>#N/A</v>
      </c>
      <c r="I115" s="82" t="e">
        <f>IF(I$63,58.05,NA())</f>
        <v>#N/A</v>
      </c>
      <c r="J115" s="82" t="e">
        <f>NA()</f>
        <v>#N/A</v>
      </c>
      <c r="K115" s="82" t="e">
        <f>IF(K$63,84.56,NA())</f>
        <v>#N/A</v>
      </c>
      <c r="L115" s="82" t="e">
        <f>IF(L$63,49.38,NA())</f>
        <v>#N/A</v>
      </c>
      <c r="M115" s="82" t="e">
        <f>IF(M$63,94.02,NA())</f>
        <v>#N/A</v>
      </c>
      <c r="N115" s="82" t="e">
        <f>IF(N$63,53.63,NA())</f>
        <v>#N/A</v>
      </c>
      <c r="O115" s="82">
        <f>IF(O$63,42.55,NA())</f>
        <v>42.55</v>
      </c>
      <c r="P115" s="82" t="e">
        <f>IF(P$63,38.86,NA())</f>
        <v>#N/A</v>
      </c>
      <c r="Q115" s="82" t="e">
        <f>IF(Q$63,53.62,NA())</f>
        <v>#N/A</v>
      </c>
      <c r="R115" s="82">
        <f>IF(R$63,49.41,NA())</f>
        <v>49.41</v>
      </c>
      <c r="S115" s="82" t="e">
        <f>IF(S$63,83.67,NA())</f>
        <v>#N/A</v>
      </c>
      <c r="T115" s="82" t="e">
        <f>IF(T$63,59.4,NA())</f>
        <v>#N/A</v>
      </c>
      <c r="U115" s="82" t="e">
        <f>IF(U$63,110.98,NA())</f>
        <v>#N/A</v>
      </c>
      <c r="V115" s="82">
        <f>IF(V$63,49.13,NA())</f>
        <v>49.13</v>
      </c>
      <c r="W115" s="82" t="e">
        <f>IF(W$63,71.97,NA())</f>
        <v>#N/A</v>
      </c>
      <c r="X115" s="82" t="e">
        <f>IF(X$63,63.12,NA())</f>
        <v>#N/A</v>
      </c>
      <c r="Y115" s="82" t="e">
        <f>IF(Y$63,39.44,NA())</f>
        <v>#N/A</v>
      </c>
      <c r="Z115" s="82" t="e">
        <f>IF(Z$63,54.82,NA())</f>
        <v>#N/A</v>
      </c>
      <c r="AA115" s="82" t="e">
        <f>IF(AA$63,57.82,NA())</f>
        <v>#N/A</v>
      </c>
      <c r="AB115" s="82" t="e">
        <f>NA()</f>
        <v>#N/A</v>
      </c>
      <c r="AC115" s="82" t="e">
        <f>IF(AC$63,55.52,NA())</f>
        <v>#N/A</v>
      </c>
      <c r="AD115" s="82" t="e">
        <f>IF(AD$63,58.73,NA())</f>
        <v>#N/A</v>
      </c>
      <c r="AE115" s="82" t="e">
        <f>IF(AE$63,58.67,NA())</f>
        <v>#N/A</v>
      </c>
      <c r="AF115" s="82" t="e">
        <f>IF(AF$63,47.48,NA())</f>
        <v>#N/A</v>
      </c>
      <c r="AG115" s="82" t="e">
        <f>IF(AG$63,48.43,NA())</f>
        <v>#N/A</v>
      </c>
      <c r="AH115" s="82" t="e">
        <f>IF(AH$63,34.47,NA())</f>
        <v>#N/A</v>
      </c>
      <c r="AI115" s="82">
        <f>IF(AI$63,40.68,NA())</f>
        <v>40.68</v>
      </c>
      <c r="AJ115" s="82" t="e">
        <f>IF(AJ$63,84.31,NA())</f>
        <v>#N/A</v>
      </c>
      <c r="AK115" s="82" t="e">
        <f>IF(AK$63,67.91,NA())</f>
        <v>#N/A</v>
      </c>
      <c r="AL115" s="82">
        <f>IF(AL$63,40.28,NA())</f>
        <v>40.28</v>
      </c>
      <c r="AM115" s="82" t="e">
        <f>IF(AM$63,25.49,NA())</f>
        <v>#N/A</v>
      </c>
      <c r="AN115" s="82" t="e">
        <f>IF(AN$63,60.71,NA())</f>
        <v>#N/A</v>
      </c>
      <c r="AO115" s="82" t="e">
        <f>IF(AO$63,43.33,NA())</f>
        <v>#N/A</v>
      </c>
      <c r="AP115" s="82" t="e">
        <f>IF(AP$63,51.38,NA())</f>
        <v>#N/A</v>
      </c>
      <c r="AQ115" s="82" t="e">
        <f>IF(AQ$63,50.86,NA())</f>
        <v>#N/A</v>
      </c>
      <c r="AR115" s="82" t="e">
        <f>IF(AR$63,30.35,NA())</f>
        <v>#N/A</v>
      </c>
      <c r="AS115" s="82" t="e">
        <f>IF(AS$63,46.42,NA())</f>
        <v>#N/A</v>
      </c>
      <c r="AT115" s="82" t="e">
        <f>IF(AT$63,53.27,NA())</f>
        <v>#N/A</v>
      </c>
      <c r="AU115" s="82">
        <f>IF(AU$63,33.42,NA())</f>
        <v>33.42</v>
      </c>
      <c r="AV115" s="82">
        <f>IF(AV$63,52.78,NA())</f>
        <v>52.78</v>
      </c>
      <c r="AW115" s="82" t="e">
        <f>IF(AW$63,55.9,NA())</f>
        <v>#N/A</v>
      </c>
      <c r="AX115" s="82" t="e">
        <f>IF(AX$63,35.71,NA())</f>
        <v>#N/A</v>
      </c>
      <c r="AY115" s="82" t="e">
        <f>IF(AY$63,58.86,NA())</f>
        <v>#N/A</v>
      </c>
    </row>
    <row r="116" spans="1:51" x14ac:dyDescent="0.3">
      <c r="A116" s="81" t="s">
        <v>131</v>
      </c>
      <c r="B116" s="82">
        <f>IF(B$63,146.58,NA())</f>
        <v>146.58000000000001</v>
      </c>
      <c r="C116" s="82">
        <f>IF(C$63,48.17,NA())</f>
        <v>48.17</v>
      </c>
      <c r="D116" s="82">
        <f>IF(D$63,94.39,NA())</f>
        <v>94.39</v>
      </c>
      <c r="E116" s="82">
        <f>IF(E$63,80.8,NA())</f>
        <v>80.8</v>
      </c>
      <c r="F116" s="82">
        <f>IF(F$63,67.68,NA())</f>
        <v>67.680000000000007</v>
      </c>
      <c r="G116" s="82">
        <f>IF(G$63,45.87,NA())</f>
        <v>45.87</v>
      </c>
      <c r="H116" s="82" t="e">
        <f>IF(H$63,74.8,NA())</f>
        <v>#N/A</v>
      </c>
      <c r="I116" s="82" t="e">
        <f>IF(I$63,58.72,NA())</f>
        <v>#N/A</v>
      </c>
      <c r="J116" s="82" t="e">
        <f>NA()</f>
        <v>#N/A</v>
      </c>
      <c r="K116" s="82" t="e">
        <f>IF(K$63,84.06,NA())</f>
        <v>#N/A</v>
      </c>
      <c r="L116" s="82" t="e">
        <f>IF(L$63,49.52,NA())</f>
        <v>#N/A</v>
      </c>
      <c r="M116" s="82" t="e">
        <f>IF(M$63,90.16,NA())</f>
        <v>#N/A</v>
      </c>
      <c r="N116" s="82" t="e">
        <f>IF(N$63,54.39,NA())</f>
        <v>#N/A</v>
      </c>
      <c r="O116" s="82">
        <f>IF(O$63,45.26,NA())</f>
        <v>45.26</v>
      </c>
      <c r="P116" s="82" t="e">
        <f>IF(P$63,36.65,NA())</f>
        <v>#N/A</v>
      </c>
      <c r="Q116" s="82" t="e">
        <f>IF(Q$63,54.56,NA())</f>
        <v>#N/A</v>
      </c>
      <c r="R116" s="82">
        <f>IF(R$63,49.09,NA())</f>
        <v>49.09</v>
      </c>
      <c r="S116" s="82" t="e">
        <f>IF(S$63,79.53,NA())</f>
        <v>#N/A</v>
      </c>
      <c r="T116" s="82" t="e">
        <f>IF(T$63,58.95,NA())</f>
        <v>#N/A</v>
      </c>
      <c r="U116" s="82" t="e">
        <f>IF(U$63,106.38,NA())</f>
        <v>#N/A</v>
      </c>
      <c r="V116" s="82">
        <f>IF(V$63,50.89,NA())</f>
        <v>50.89</v>
      </c>
      <c r="W116" s="82" t="e">
        <f>IF(W$63,71.14,NA())</f>
        <v>#N/A</v>
      </c>
      <c r="X116" s="82" t="e">
        <f>IF(X$63,62.32,NA())</f>
        <v>#N/A</v>
      </c>
      <c r="Y116" s="82" t="e">
        <f>IF(Y$63,37.68,NA())</f>
        <v>#N/A</v>
      </c>
      <c r="Z116" s="82" t="e">
        <f>IF(Z$63,51.59,NA())</f>
        <v>#N/A</v>
      </c>
      <c r="AA116" s="82" t="e">
        <f>IF(AA$63,57.14,NA())</f>
        <v>#N/A</v>
      </c>
      <c r="AB116" s="82" t="e">
        <f>NA()</f>
        <v>#N/A</v>
      </c>
      <c r="AC116" s="82" t="e">
        <f>IF(AC$63,54.71,NA())</f>
        <v>#N/A</v>
      </c>
      <c r="AD116" s="82" t="e">
        <f>IF(AD$63,59.69,NA())</f>
        <v>#N/A</v>
      </c>
      <c r="AE116" s="82" t="e">
        <f>IF(AE$63,56.67,NA())</f>
        <v>#N/A</v>
      </c>
      <c r="AF116" s="82" t="e">
        <f>IF(AF$63,47.48,NA())</f>
        <v>#N/A</v>
      </c>
      <c r="AG116" s="82" t="e">
        <f>IF(AG$63,49.92,NA())</f>
        <v>#N/A</v>
      </c>
      <c r="AH116" s="82" t="e">
        <f>IF(AH$63,32.93,NA())</f>
        <v>#N/A</v>
      </c>
      <c r="AI116" s="82">
        <f>IF(AI$63,44.45,NA())</f>
        <v>44.45</v>
      </c>
      <c r="AJ116" s="82" t="e">
        <f>IF(AJ$63,80.89,NA())</f>
        <v>#N/A</v>
      </c>
      <c r="AK116" s="82" t="e">
        <f>IF(AK$63,66.72,NA())</f>
        <v>#N/A</v>
      </c>
      <c r="AL116" s="82">
        <f>IF(AL$63,40.28,NA())</f>
        <v>40.28</v>
      </c>
      <c r="AM116" s="82" t="e">
        <f>IF(AM$63,24.8,NA())</f>
        <v>#N/A</v>
      </c>
      <c r="AN116" s="82" t="e">
        <f>IF(AN$63,58.2,NA())</f>
        <v>#N/A</v>
      </c>
      <c r="AO116" s="82" t="e">
        <f>IF(AO$63,42.4,NA())</f>
        <v>#N/A</v>
      </c>
      <c r="AP116" s="82" t="e">
        <f>IF(AP$63,52.93,NA())</f>
        <v>#N/A</v>
      </c>
      <c r="AQ116" s="82" t="e">
        <f>IF(AQ$63,45.93,NA())</f>
        <v>#N/A</v>
      </c>
      <c r="AR116" s="82" t="e">
        <f>IF(AR$63,32.59,NA())</f>
        <v>#N/A</v>
      </c>
      <c r="AS116" s="82" t="e">
        <f>IF(AS$63,44.04,NA())</f>
        <v>#N/A</v>
      </c>
      <c r="AT116" s="82" t="e">
        <f>IF(AT$63,50.08,NA())</f>
        <v>#N/A</v>
      </c>
      <c r="AU116" s="82">
        <f>IF(AU$63,32.47,NA())</f>
        <v>32.47</v>
      </c>
      <c r="AV116" s="82">
        <f>IF(AV$63,49.37,NA())</f>
        <v>49.37</v>
      </c>
      <c r="AW116" s="82" t="e">
        <f>IF(AW$63,59.89,NA())</f>
        <v>#N/A</v>
      </c>
      <c r="AX116" s="82" t="e">
        <f>IF(AX$63,39.96,NA())</f>
        <v>#N/A</v>
      </c>
      <c r="AY116" s="82" t="e">
        <f>IF(AY$63,59.77,NA())</f>
        <v>#N/A</v>
      </c>
    </row>
    <row r="117" spans="1:51" x14ac:dyDescent="0.3">
      <c r="A117" s="81" t="s">
        <v>132</v>
      </c>
      <c r="B117" s="82">
        <f>IF(B$63,143.77,NA())</f>
        <v>143.77000000000001</v>
      </c>
      <c r="C117" s="82">
        <f>IF(C$63,46.91,NA())</f>
        <v>46.91</v>
      </c>
      <c r="D117" s="82">
        <f>IF(D$63,92.96,NA())</f>
        <v>92.96</v>
      </c>
      <c r="E117" s="82">
        <f>IF(E$63,82.18,NA())</f>
        <v>82.18</v>
      </c>
      <c r="F117" s="82">
        <f>IF(F$63,65.76,NA())</f>
        <v>65.760000000000005</v>
      </c>
      <c r="G117" s="82">
        <f>IF(G$63,47.85,NA())</f>
        <v>47.85</v>
      </c>
      <c r="H117" s="82" t="e">
        <f>IF(H$63,73.11,NA())</f>
        <v>#N/A</v>
      </c>
      <c r="I117" s="82" t="e">
        <f>IF(I$63,57.12,NA())</f>
        <v>#N/A</v>
      </c>
      <c r="J117" s="82" t="e">
        <f>NA()</f>
        <v>#N/A</v>
      </c>
      <c r="K117" s="82" t="e">
        <f>IF(K$63,86.19,NA())</f>
        <v>#N/A</v>
      </c>
      <c r="L117" s="82" t="e">
        <f>IF(L$63,49.79,NA())</f>
        <v>#N/A</v>
      </c>
      <c r="M117" s="82" t="e">
        <f>IF(M$63,87.68,NA())</f>
        <v>#N/A</v>
      </c>
      <c r="N117" s="82" t="e">
        <f>IF(N$63,47.59,NA())</f>
        <v>#N/A</v>
      </c>
      <c r="O117" s="82">
        <f>IF(O$63,46.03,NA())</f>
        <v>46.03</v>
      </c>
      <c r="P117" s="82" t="e">
        <f>IF(P$63,34.88,NA())</f>
        <v>#N/A</v>
      </c>
      <c r="Q117" s="82" t="e">
        <f>IF(Q$63,56.44,NA())</f>
        <v>#N/A</v>
      </c>
      <c r="R117" s="82">
        <f>IF(R$63,48.13,NA())</f>
        <v>48.13</v>
      </c>
      <c r="S117" s="82" t="e">
        <f>IF(S$63,77.75,NA())</f>
        <v>#N/A</v>
      </c>
      <c r="T117" s="82" t="e">
        <f>IF(T$63,57.16,NA())</f>
        <v>#N/A</v>
      </c>
      <c r="U117" s="82" t="e">
        <f>IF(U$63,107.53,NA())</f>
        <v>#N/A</v>
      </c>
      <c r="V117" s="82">
        <f>IF(V$63,54.39,NA())</f>
        <v>54.39</v>
      </c>
      <c r="W117" s="82" t="e">
        <f>IF(W$63,67.72,NA())</f>
        <v>#N/A</v>
      </c>
      <c r="X117" s="82" t="e">
        <f>IF(X$63,61.53,NA())</f>
        <v>#N/A</v>
      </c>
      <c r="Y117" s="82" t="e">
        <f>IF(Y$63,38.85,NA())</f>
        <v>#N/A</v>
      </c>
      <c r="Z117" s="82" t="e">
        <f>IF(Z$63,50.88,NA())</f>
        <v>#N/A</v>
      </c>
      <c r="AA117" s="82" t="e">
        <f>IF(AA$63,57.14,NA())</f>
        <v>#N/A</v>
      </c>
      <c r="AB117" s="82" t="e">
        <f>NA()</f>
        <v>#N/A</v>
      </c>
      <c r="AC117" s="82" t="e">
        <f>IF(AC$63,54.81,NA())</f>
        <v>#N/A</v>
      </c>
      <c r="AD117" s="82" t="e">
        <f>IF(AD$63,54.88,NA())</f>
        <v>#N/A</v>
      </c>
      <c r="AE117" s="82" t="e">
        <f>IF(AE$63,56.11,NA())</f>
        <v>#N/A</v>
      </c>
      <c r="AF117" s="82" t="e">
        <f>IF(AF$63,49.31,NA())</f>
        <v>#N/A</v>
      </c>
      <c r="AG117" s="82" t="e">
        <f>IF(AG$63,46.19,NA())</f>
        <v>#N/A</v>
      </c>
      <c r="AH117" s="82" t="e">
        <f>IF(AH$63,30.36,NA())</f>
        <v>#N/A</v>
      </c>
      <c r="AI117" s="82">
        <f>IF(AI$63,39.93,NA())</f>
        <v>39.93</v>
      </c>
      <c r="AJ117" s="82" t="e">
        <f>IF(AJ$63,80.03,NA())</f>
        <v>#N/A</v>
      </c>
      <c r="AK117" s="82" t="e">
        <f>IF(AK$63,65.53,NA())</f>
        <v>#N/A</v>
      </c>
      <c r="AL117" s="82">
        <f>IF(AL$63,38.96,NA())</f>
        <v>38.96</v>
      </c>
      <c r="AM117" s="82" t="e">
        <f>IF(AM$63,24.8,NA())</f>
        <v>#N/A</v>
      </c>
      <c r="AN117" s="82" t="e">
        <f>IF(AN$63,57.31,NA())</f>
        <v>#N/A</v>
      </c>
      <c r="AO117" s="82" t="e">
        <f>IF(AO$63,41.38,NA())</f>
        <v>#N/A</v>
      </c>
      <c r="AP117" s="82" t="e">
        <f>IF(AP$63,48.26,NA())</f>
        <v>#N/A</v>
      </c>
      <c r="AQ117" s="82" t="e">
        <f>IF(AQ$63,45.54,NA())</f>
        <v>#N/A</v>
      </c>
      <c r="AR117" s="82" t="e">
        <f>IF(AR$63,32.03,NA())</f>
        <v>#N/A</v>
      </c>
      <c r="AS117" s="82" t="e">
        <f>IF(AS$63,43.02,NA())</f>
        <v>#N/A</v>
      </c>
      <c r="AT117" s="82" t="e">
        <f>IF(AT$63,48.43,NA())</f>
        <v>#N/A</v>
      </c>
      <c r="AU117" s="82">
        <f>IF(AU$63,28.65,NA())</f>
        <v>28.65</v>
      </c>
      <c r="AV117" s="82">
        <f>IF(AV$63,47.24,NA())</f>
        <v>47.24</v>
      </c>
      <c r="AW117" s="82" t="e">
        <f>IF(AW$63,56.9,NA())</f>
        <v>#N/A</v>
      </c>
      <c r="AX117" s="82" t="e">
        <f>IF(AX$63,39.96,NA())</f>
        <v>#N/A</v>
      </c>
      <c r="AY117" s="82" t="e">
        <f>IF(AY$63,57.96,NA())</f>
        <v>#N/A</v>
      </c>
    </row>
    <row r="118" spans="1:51" x14ac:dyDescent="0.3">
      <c r="A118" s="81" t="s">
        <v>133</v>
      </c>
      <c r="B118" s="82">
        <f>IF(B$63,138.67,NA())</f>
        <v>138.66999999999999</v>
      </c>
      <c r="C118" s="82">
        <f>IF(C$63,45,NA())</f>
        <v>45</v>
      </c>
      <c r="D118" s="82">
        <f>IF(D$63,84.38,NA())</f>
        <v>84.38</v>
      </c>
      <c r="E118" s="82">
        <f>IF(E$63,79.42,NA())</f>
        <v>79.42</v>
      </c>
      <c r="F118" s="82">
        <f>IF(F$63,58.56,NA())</f>
        <v>58.56</v>
      </c>
      <c r="G118" s="82">
        <f>IF(G$63,49.11,NA())</f>
        <v>49.11</v>
      </c>
      <c r="H118" s="82" t="e">
        <f>IF(H$63,71.54,NA())</f>
        <v>#N/A</v>
      </c>
      <c r="I118" s="82" t="e">
        <f>IF(I$63,56.59,NA())</f>
        <v>#N/A</v>
      </c>
      <c r="J118" s="82" t="e">
        <f>NA()</f>
        <v>#N/A</v>
      </c>
      <c r="K118" s="82" t="e">
        <f>IF(K$63,85.56,NA())</f>
        <v>#N/A</v>
      </c>
      <c r="L118" s="82" t="e">
        <f>IF(L$63,48.97,NA())</f>
        <v>#N/A</v>
      </c>
      <c r="M118" s="82" t="e">
        <f>IF(M$63,85.47,NA())</f>
        <v>#N/A</v>
      </c>
      <c r="N118" s="82" t="e">
        <f>IF(N$63,46.08,NA())</f>
        <v>#N/A</v>
      </c>
      <c r="O118" s="82">
        <f>IF(O$63,49.9,NA())</f>
        <v>49.9</v>
      </c>
      <c r="P118" s="82" t="e">
        <f>IF(P$63,36.21,NA())</f>
        <v>#N/A</v>
      </c>
      <c r="Q118" s="82" t="e">
        <f>IF(Q$63,59.26,NA())</f>
        <v>#N/A</v>
      </c>
      <c r="R118" s="82">
        <f>IF(R$63,47.81,NA())</f>
        <v>47.81</v>
      </c>
      <c r="S118" s="82" t="e">
        <f>IF(S$63,75.78,NA())</f>
        <v>#N/A</v>
      </c>
      <c r="T118" s="82" t="e">
        <f>IF(T$63,55.82,NA())</f>
        <v>#N/A</v>
      </c>
      <c r="U118" s="82" t="e">
        <f>IF(U$63,104.65,NA())</f>
        <v>#N/A</v>
      </c>
      <c r="V118" s="82">
        <f>IF(V$63,51.76,NA())</f>
        <v>51.76</v>
      </c>
      <c r="W118" s="82" t="e">
        <f>IF(W$63,68.4,NA())</f>
        <v>#N/A</v>
      </c>
      <c r="X118" s="82" t="e">
        <f>IF(X$63,60.81,NA())</f>
        <v>#N/A</v>
      </c>
      <c r="Y118" s="82" t="e">
        <f>IF(Y$63,37.68,NA())</f>
        <v>#N/A</v>
      </c>
      <c r="Z118" s="82" t="e">
        <f>IF(Z$63,53.02,NA())</f>
        <v>#N/A</v>
      </c>
      <c r="AA118" s="82" t="e">
        <f>IF(AA$63,54.42,NA())</f>
        <v>#N/A</v>
      </c>
      <c r="AB118" s="82" t="e">
        <f>NA()</f>
        <v>#N/A</v>
      </c>
      <c r="AC118" s="82" t="e">
        <f>IF(AC$63,53.08,NA())</f>
        <v>#N/A</v>
      </c>
      <c r="AD118" s="82" t="e">
        <f>IF(AD$63,51.99,NA())</f>
        <v>#N/A</v>
      </c>
      <c r="AE118" s="82" t="e">
        <f>IF(AE$63,55.54,NA())</f>
        <v>#N/A</v>
      </c>
      <c r="AF118" s="82" t="e">
        <f>IF(AF$63,47.48,NA())</f>
        <v>#N/A</v>
      </c>
      <c r="AG118" s="82" t="e">
        <f>IF(AG$63,43.96,NA())</f>
        <v>#N/A</v>
      </c>
      <c r="AH118" s="82" t="e">
        <f>IF(AH$63,31.39,NA())</f>
        <v>#N/A</v>
      </c>
      <c r="AI118" s="82">
        <f>IF(AI$63,39.93,NA())</f>
        <v>39.93</v>
      </c>
      <c r="AJ118" s="82" t="e">
        <f>IF(AJ$63,73.18,NA())</f>
        <v>#N/A</v>
      </c>
      <c r="AK118" s="82" t="e">
        <f>IF(AK$63,63.15,NA())</f>
        <v>#N/A</v>
      </c>
      <c r="AL118" s="82">
        <f>IF(AL$63,38.96,NA())</f>
        <v>38.96</v>
      </c>
      <c r="AM118" s="82" t="e">
        <f>IF(AM$63,22.73,NA())</f>
        <v>#N/A</v>
      </c>
      <c r="AN118" s="82" t="e">
        <f>IF(AN$63,55.93,NA())</f>
        <v>#N/A</v>
      </c>
      <c r="AO118" s="82" t="e">
        <f>IF(AO$63,41.29,NA())</f>
        <v>#N/A</v>
      </c>
      <c r="AP118" s="82" t="e">
        <f>IF(AP$63,47.75,NA())</f>
        <v>#N/A</v>
      </c>
      <c r="AQ118" s="82" t="e">
        <f>IF(AQ$63,44.95,NA())</f>
        <v>#N/A</v>
      </c>
      <c r="AR118" s="82" t="e">
        <f>IF(AR$63,29.78,NA())</f>
        <v>#N/A</v>
      </c>
      <c r="AS118" s="82" t="e">
        <f>IF(AS$63,41.49,NA())</f>
        <v>#N/A</v>
      </c>
      <c r="AT118" s="82" t="e">
        <f>IF(AT$63,46.24,NA())</f>
        <v>#N/A</v>
      </c>
      <c r="AU118" s="82">
        <f>IF(AU$63,28.65,NA())</f>
        <v>28.65</v>
      </c>
      <c r="AV118" s="82">
        <f>IF(AV$63,48.95,NA())</f>
        <v>48.95</v>
      </c>
      <c r="AW118" s="82" t="e">
        <f>IF(AW$63,56.9,NA())</f>
        <v>#N/A</v>
      </c>
      <c r="AX118" s="82" t="e">
        <f>IF(AX$63,45.91,NA())</f>
        <v>#N/A</v>
      </c>
      <c r="AY118" s="82" t="e">
        <f>IF(AY$63,57.05,NA())</f>
        <v>#N/A</v>
      </c>
    </row>
    <row r="119" spans="1:51" x14ac:dyDescent="0.3">
      <c r="A119" s="81" t="s">
        <v>134</v>
      </c>
      <c r="B119" s="82">
        <f>IF(B$63,135.67,NA())</f>
        <v>135.66999999999999</v>
      </c>
      <c r="C119" s="82">
        <f>IF(C$63,41.83,NA())</f>
        <v>41.83</v>
      </c>
      <c r="D119" s="82">
        <f>IF(D$63,77.94,NA())</f>
        <v>77.94</v>
      </c>
      <c r="E119" s="82">
        <f>IF(E$63,80.8,NA())</f>
        <v>80.8</v>
      </c>
      <c r="F119" s="82">
        <f>IF(F$63,54.72,NA())</f>
        <v>54.72</v>
      </c>
      <c r="G119" s="82">
        <f>IF(G$63,50.54,NA())</f>
        <v>50.54</v>
      </c>
      <c r="H119" s="82" t="e">
        <f>IF(H$63,71.42,NA())</f>
        <v>#N/A</v>
      </c>
      <c r="I119" s="82" t="e">
        <f>IF(I$63,56.06,NA())</f>
        <v>#N/A</v>
      </c>
      <c r="J119" s="82" t="e">
        <f>NA()</f>
        <v>#N/A</v>
      </c>
      <c r="K119" s="82" t="e">
        <f>IF(K$63,82.67,NA())</f>
        <v>#N/A</v>
      </c>
      <c r="L119" s="82" t="e">
        <f>IF(L$63,49.24,NA())</f>
        <v>#N/A</v>
      </c>
      <c r="M119" s="82" t="e">
        <f>IF(M$63,78.85,NA())</f>
        <v>#N/A</v>
      </c>
      <c r="N119" s="82" t="e">
        <f>IF(N$63,46.83,NA())</f>
        <v>#N/A</v>
      </c>
      <c r="O119" s="82">
        <f>IF(O$63,51.83,NA())</f>
        <v>51.83</v>
      </c>
      <c r="P119" s="82" t="e">
        <f>IF(P$63,37.09,NA())</f>
        <v>#N/A</v>
      </c>
      <c r="Q119" s="82" t="e">
        <f>IF(Q$63,56.44,NA())</f>
        <v>#N/A</v>
      </c>
      <c r="R119" s="82">
        <f>IF(R$63,46.01,NA())</f>
        <v>46.01</v>
      </c>
      <c r="S119" s="82" t="e">
        <f>IF(S$63,71.63,NA())</f>
        <v>#N/A</v>
      </c>
      <c r="T119" s="82" t="e">
        <f>IF(T$63,53.29,NA())</f>
        <v>#N/A</v>
      </c>
      <c r="U119" s="82" t="e">
        <f>IF(U$63,104.08,NA())</f>
        <v>#N/A</v>
      </c>
      <c r="V119" s="82">
        <f>IF(V$63,54.39,NA())</f>
        <v>54.39</v>
      </c>
      <c r="W119" s="82" t="e">
        <f>IF(W$63,66.48,NA())</f>
        <v>#N/A</v>
      </c>
      <c r="X119" s="82" t="e">
        <f>IF(X$63,57.85,NA())</f>
        <v>#N/A</v>
      </c>
      <c r="Y119" s="82" t="e">
        <f>IF(Y$63,37.09,NA())</f>
        <v>#N/A</v>
      </c>
      <c r="Z119" s="82" t="e">
        <f>IF(Z$63,50.88,NA())</f>
        <v>#N/A</v>
      </c>
      <c r="AA119" s="82" t="e">
        <f>IF(AA$63,52.38,NA())</f>
        <v>#N/A</v>
      </c>
      <c r="AB119" s="82" t="e">
        <f>NA()</f>
        <v>#N/A</v>
      </c>
      <c r="AC119" s="82" t="e">
        <f>IF(AC$63,51.14,NA())</f>
        <v>#N/A</v>
      </c>
      <c r="AD119" s="82" t="e">
        <f>IF(AD$63,48.14,NA())</f>
        <v>#N/A</v>
      </c>
      <c r="AE119" s="82" t="e">
        <f>IF(AE$63,54.11,NA())</f>
        <v>#N/A</v>
      </c>
      <c r="AF119" s="82" t="e">
        <f>IF(AF$63,45.66,NA())</f>
        <v>#N/A</v>
      </c>
      <c r="AG119" s="82" t="e">
        <f>IF(AG$63,47.68,NA())</f>
        <v>#N/A</v>
      </c>
      <c r="AH119" s="82" t="e">
        <f>IF(AH$63,30.36,NA())</f>
        <v>#N/A</v>
      </c>
      <c r="AI119" s="82">
        <f>IF(AI$63,37.67,NA())</f>
        <v>37.67</v>
      </c>
      <c r="AJ119" s="82" t="e">
        <f>IF(AJ$63,68.48,NA())</f>
        <v>#N/A</v>
      </c>
      <c r="AK119" s="82" t="e">
        <f>IF(AK$63,60.67,NA())</f>
        <v>#N/A</v>
      </c>
      <c r="AL119" s="82">
        <f>IF(AL$63,38.29,NA())</f>
        <v>38.29</v>
      </c>
      <c r="AM119" s="82" t="e">
        <f>IF(AM$63,24.8,NA())</f>
        <v>#N/A</v>
      </c>
      <c r="AN119" s="82" t="e">
        <f>IF(AN$63,55.05,NA())</f>
        <v>#N/A</v>
      </c>
      <c r="AO119" s="82" t="e">
        <f>IF(AO$63,40.18,NA())</f>
        <v>#N/A</v>
      </c>
      <c r="AP119" s="82" t="e">
        <f>IF(AP$63,48.78,NA())</f>
        <v>#N/A</v>
      </c>
      <c r="AQ119" s="82" t="e">
        <f>IF(AQ$63,46.72,NA())</f>
        <v>#N/A</v>
      </c>
      <c r="AR119" s="82" t="e">
        <f>IF(AR$63,27.54,NA())</f>
        <v>#N/A</v>
      </c>
      <c r="AS119" s="82" t="e">
        <f>IF(AS$63,42,NA())</f>
        <v>#N/A</v>
      </c>
      <c r="AT119" s="82" t="e">
        <f>IF(AT$63,44.81,NA())</f>
        <v>#N/A</v>
      </c>
      <c r="AU119" s="82">
        <f>IF(AU$63,30.56,NA())</f>
        <v>30.56</v>
      </c>
      <c r="AV119" s="82">
        <f>IF(AV$63,49.8,NA())</f>
        <v>49.8</v>
      </c>
      <c r="AW119" s="82" t="e">
        <f>IF(AW$63,59.89,NA())</f>
        <v>#N/A</v>
      </c>
      <c r="AX119" s="82" t="e">
        <f>IF(AX$63,45.91,NA())</f>
        <v>#N/A</v>
      </c>
      <c r="AY119" s="82" t="e">
        <f>IF(AY$63,54.34,NA())</f>
        <v>#N/A</v>
      </c>
    </row>
    <row r="120" spans="1:51" x14ac:dyDescent="0.3">
      <c r="A120" s="81" t="s">
        <v>135</v>
      </c>
      <c r="B120" s="82">
        <f>IF(B$63,132.51,NA())</f>
        <v>132.51</v>
      </c>
      <c r="C120" s="82">
        <f>IF(C$63,39.93,NA())</f>
        <v>39.93</v>
      </c>
      <c r="D120" s="82">
        <f>IF(D$63,79.37,NA())</f>
        <v>79.37</v>
      </c>
      <c r="E120" s="82">
        <f>IF(E$63,83.22,NA())</f>
        <v>83.22</v>
      </c>
      <c r="F120" s="82">
        <f>IF(F$63,53.76,NA())</f>
        <v>53.76</v>
      </c>
      <c r="G120" s="82">
        <f>IF(G$63,51.08,NA())</f>
        <v>51.08</v>
      </c>
      <c r="H120" s="82" t="e">
        <f>IF(H$63,69.12,NA())</f>
        <v>#N/A</v>
      </c>
      <c r="I120" s="82" t="e">
        <f>IF(I$63,54.6,NA())</f>
        <v>#N/A</v>
      </c>
      <c r="J120" s="82" t="e">
        <f>NA()</f>
        <v>#N/A</v>
      </c>
      <c r="K120" s="82" t="e">
        <f>IF(K$63,77.9,NA())</f>
        <v>#N/A</v>
      </c>
      <c r="L120" s="82" t="e">
        <f>IF(L$63,50.48,NA())</f>
        <v>#N/A</v>
      </c>
      <c r="M120" s="82" t="e">
        <f>IF(M$63,76.1,NA())</f>
        <v>#N/A</v>
      </c>
      <c r="N120" s="82" t="e">
        <f>IF(N$63,43.06,NA())</f>
        <v>#N/A</v>
      </c>
      <c r="O120" s="82">
        <f>IF(O$63,53.38,NA())</f>
        <v>53.38</v>
      </c>
      <c r="P120" s="82" t="e">
        <f>IF(P$63,39.74,NA())</f>
        <v>#N/A</v>
      </c>
      <c r="Q120" s="82" t="e">
        <f>IF(Q$63,56.44,NA())</f>
        <v>#N/A</v>
      </c>
      <c r="R120" s="82">
        <f>IF(R$63,44.94,NA())</f>
        <v>44.94</v>
      </c>
      <c r="S120" s="82" t="e">
        <f>IF(S$63,70.45,NA())</f>
        <v>#N/A</v>
      </c>
      <c r="T120" s="82" t="e">
        <f>IF(T$63,50.91,NA())</f>
        <v>#N/A</v>
      </c>
      <c r="U120" s="82" t="e">
        <f>IF(U$63,98.33,NA())</f>
        <v>#N/A</v>
      </c>
      <c r="V120" s="82">
        <f>IF(V$63,51.76,NA())</f>
        <v>51.76</v>
      </c>
      <c r="W120" s="82" t="e">
        <f>IF(W$63,66.07,NA())</f>
        <v>#N/A</v>
      </c>
      <c r="X120" s="82" t="e">
        <f>IF(X$63,56.26,NA())</f>
        <v>#N/A</v>
      </c>
      <c r="Y120" s="82" t="e">
        <f>IF(Y$63,34.14,NA())</f>
        <v>#N/A</v>
      </c>
      <c r="Z120" s="82" t="e">
        <f>IF(Z$63,52.67,NA())</f>
        <v>#N/A</v>
      </c>
      <c r="AA120" s="82" t="e">
        <f>IF(AA$63,51.02,NA())</f>
        <v>#N/A</v>
      </c>
      <c r="AB120" s="82" t="e">
        <f>NA()</f>
        <v>#N/A</v>
      </c>
      <c r="AC120" s="82" t="e">
        <f>IF(AC$63,48.8,NA())</f>
        <v>#N/A</v>
      </c>
      <c r="AD120" s="82" t="e">
        <f>IF(AD$63,43.33,NA())</f>
        <v>#N/A</v>
      </c>
      <c r="AE120" s="82" t="e">
        <f>IF(AE$63,54.25,NA())</f>
        <v>#N/A</v>
      </c>
      <c r="AF120" s="82" t="e">
        <f>IF(AF$63,43.83,NA())</f>
        <v>#N/A</v>
      </c>
      <c r="AG120" s="82" t="e">
        <f>IF(AG$63,44.7,NA())</f>
        <v>#N/A</v>
      </c>
      <c r="AH120" s="82" t="e">
        <f>IF(AH$63,30.87,NA())</f>
        <v>#N/A</v>
      </c>
      <c r="AI120" s="82">
        <f>IF(AI$63,36.16,NA())</f>
        <v>36.159999999999997</v>
      </c>
      <c r="AJ120" s="82" t="e">
        <f>IF(AJ$63,65.48,NA())</f>
        <v>#N/A</v>
      </c>
      <c r="AK120" s="82" t="e">
        <f>IF(AK$63,57.64,NA())</f>
        <v>#N/A</v>
      </c>
      <c r="AL120" s="82">
        <f>IF(AL$63,39.62,NA())</f>
        <v>39.619999999999997</v>
      </c>
      <c r="AM120" s="82" t="e">
        <f>IF(AM$63,25.49,NA())</f>
        <v>#N/A</v>
      </c>
      <c r="AN120" s="82" t="e">
        <f>IF(AN$63,54.04,NA())</f>
        <v>#N/A</v>
      </c>
      <c r="AO120" s="82" t="e">
        <f>IF(AO$63,39.35,NA())</f>
        <v>#N/A</v>
      </c>
      <c r="AP120" s="82" t="e">
        <f>IF(AP$63,44.63,NA())</f>
        <v>#N/A</v>
      </c>
      <c r="AQ120" s="82" t="e">
        <f>IF(AQ$63,45.14,NA())</f>
        <v>#N/A</v>
      </c>
      <c r="AR120" s="82" t="e">
        <f>IF(AR$63,25.85,NA())</f>
        <v>#N/A</v>
      </c>
      <c r="AS120" s="82" t="e">
        <f>IF(AS$63,38.94,NA())</f>
        <v>#N/A</v>
      </c>
      <c r="AT120" s="82" t="e">
        <f>IF(AT$63,45.47,NA())</f>
        <v>#N/A</v>
      </c>
      <c r="AU120" s="82">
        <f>IF(AU$63,29.6,NA())</f>
        <v>29.6</v>
      </c>
      <c r="AV120" s="82">
        <f>IF(AV$63,48.52,NA())</f>
        <v>48.52</v>
      </c>
      <c r="AW120" s="82" t="e">
        <f>IF(AW$63,57.89,NA())</f>
        <v>#N/A</v>
      </c>
      <c r="AX120" s="82" t="e">
        <f>IF(AX$63,46.76,NA())</f>
        <v>#N/A</v>
      </c>
      <c r="AY120" s="82" t="e">
        <f>IF(AY$63,51.32,NA())</f>
        <v>#N/A</v>
      </c>
    </row>
    <row r="121" spans="1:51" x14ac:dyDescent="0.3">
      <c r="A121" s="81" t="s">
        <v>136</v>
      </c>
      <c r="B121" s="82">
        <f>IF(B$63,131.98,NA())</f>
        <v>131.97999999999999</v>
      </c>
      <c r="C121" s="82">
        <f>IF(C$63,43.1,NA())</f>
        <v>43.1</v>
      </c>
      <c r="D121" s="82">
        <f>IF(D$63,74.01,NA())</f>
        <v>74.010000000000005</v>
      </c>
      <c r="E121" s="82">
        <f>IF(E$63,82.87,NA())</f>
        <v>82.87</v>
      </c>
      <c r="F121" s="82">
        <f>IF(F$63,53.28,NA())</f>
        <v>53.28</v>
      </c>
      <c r="G121" s="82">
        <f>IF(G$63,51.08,NA())</f>
        <v>51.08</v>
      </c>
      <c r="H121" s="82" t="e">
        <f>IF(H$63,65.86,NA())</f>
        <v>#N/A</v>
      </c>
      <c r="I121" s="82" t="e">
        <f>IF(I$63,51.01,NA())</f>
        <v>#N/A</v>
      </c>
      <c r="J121" s="82" t="e">
        <f>NA()</f>
        <v>#N/A</v>
      </c>
      <c r="K121" s="82" t="e">
        <f>IF(K$63,74.13,NA())</f>
        <v>#N/A</v>
      </c>
      <c r="L121" s="82" t="e">
        <f>IF(L$63,48.83,NA())</f>
        <v>#N/A</v>
      </c>
      <c r="M121" s="82" t="e">
        <f>IF(M$63,68.93,NA())</f>
        <v>#N/A</v>
      </c>
      <c r="N121" s="82" t="e">
        <f>IF(N$63,39.28,NA())</f>
        <v>#N/A</v>
      </c>
      <c r="O121" s="82">
        <f>IF(O$63,51.45,NA())</f>
        <v>51.45</v>
      </c>
      <c r="P121" s="82" t="e">
        <f>IF(P$63,39.3,NA())</f>
        <v>#N/A</v>
      </c>
      <c r="Q121" s="82" t="e">
        <f>IF(Q$63,54.56,NA())</f>
        <v>#N/A</v>
      </c>
      <c r="R121" s="82">
        <f>IF(R$63,43.03,NA())</f>
        <v>43.03</v>
      </c>
      <c r="S121" s="82" t="e">
        <f>IF(S$63,67.29,NA())</f>
        <v>#N/A</v>
      </c>
      <c r="T121" s="82" t="e">
        <f>IF(T$63,50.32,NA())</f>
        <v>#N/A</v>
      </c>
      <c r="U121" s="82" t="e">
        <f>IF(U$63,94.88,NA())</f>
        <v>#N/A</v>
      </c>
      <c r="V121" s="82">
        <f>IF(V$63,49.13,NA())</f>
        <v>49.13</v>
      </c>
      <c r="W121" s="82" t="e">
        <f>IF(W$63,62.92,NA())</f>
        <v>#N/A</v>
      </c>
      <c r="X121" s="82" t="e">
        <f>IF(X$63,54.23,NA())</f>
        <v>#N/A</v>
      </c>
      <c r="Y121" s="82" t="e">
        <f>IF(Y$63,33.56,NA())</f>
        <v>#N/A</v>
      </c>
      <c r="Z121" s="82" t="e">
        <f>IF(Z$63,53.02,NA())</f>
        <v>#N/A</v>
      </c>
      <c r="AA121" s="82" t="e">
        <f>IF(AA$63,46.94,NA())</f>
        <v>#N/A</v>
      </c>
      <c r="AB121" s="82" t="e">
        <f>NA()</f>
        <v>#N/A</v>
      </c>
      <c r="AC121" s="82" t="e">
        <f>IF(AC$63,45.64,NA())</f>
        <v>#N/A</v>
      </c>
      <c r="AD121" s="82" t="e">
        <f>IF(AD$63,39.47,NA())</f>
        <v>#N/A</v>
      </c>
      <c r="AE121" s="82" t="e">
        <f>IF(AE$63,51.12,NA())</f>
        <v>#N/A</v>
      </c>
      <c r="AF121" s="82" t="e">
        <f>IF(AF$63,42.92,NA())</f>
        <v>#N/A</v>
      </c>
      <c r="AG121" s="82" t="e">
        <f>IF(AG$63,44.7,NA())</f>
        <v>#N/A</v>
      </c>
      <c r="AH121" s="82" t="e">
        <f>IF(AH$63,35.5,NA())</f>
        <v>#N/A</v>
      </c>
      <c r="AI121" s="82">
        <f>IF(AI$63,37.67,NA())</f>
        <v>37.67</v>
      </c>
      <c r="AJ121" s="82" t="e">
        <f>IF(AJ$63,62.91,NA())</f>
        <v>#N/A</v>
      </c>
      <c r="AK121" s="82" t="e">
        <f>IF(AK$63,54.5,NA())</f>
        <v>#N/A</v>
      </c>
      <c r="AL121" s="82">
        <f>IF(AL$63,38.63,NA())</f>
        <v>38.630000000000003</v>
      </c>
      <c r="AM121" s="82" t="e">
        <f>IF(AM$63,28.93,NA())</f>
        <v>#N/A</v>
      </c>
      <c r="AN121" s="82" t="e">
        <f>IF(AN$63,51.77,NA())</f>
        <v>#N/A</v>
      </c>
      <c r="AO121" s="82" t="e">
        <f>IF(AO$63,37.87,NA())</f>
        <v>#N/A</v>
      </c>
      <c r="AP121" s="82" t="e">
        <f>IF(AP$63,42.56,NA())</f>
        <v>#N/A</v>
      </c>
      <c r="AQ121" s="82" t="e">
        <f>IF(AQ$63,41.79,NA())</f>
        <v>#N/A</v>
      </c>
      <c r="AR121" s="82" t="e">
        <f>IF(AR$63,28.1,NA())</f>
        <v>#N/A</v>
      </c>
      <c r="AS121" s="82" t="e">
        <f>IF(AS$63,37.24,NA())</f>
        <v>#N/A</v>
      </c>
      <c r="AT121" s="82" t="e">
        <f>IF(AT$63,44.48,NA())</f>
        <v>#N/A</v>
      </c>
      <c r="AU121" s="82">
        <f>IF(AU$63,28.65,NA())</f>
        <v>28.65</v>
      </c>
      <c r="AV121" s="82">
        <f>IF(AV$63,48.09,NA())</f>
        <v>48.09</v>
      </c>
      <c r="AW121" s="82" t="e">
        <f>IF(AW$63,57.89,NA())</f>
        <v>#N/A</v>
      </c>
      <c r="AX121" s="82" t="e">
        <f>IF(AX$63,47.61,NA())</f>
        <v>#N/A</v>
      </c>
      <c r="AY121" s="82" t="e">
        <f>IF(AY$63,47.69,NA())</f>
        <v>#N/A</v>
      </c>
    </row>
    <row r="122" spans="1:51" x14ac:dyDescent="0.3">
      <c r="A122" s="81" t="s">
        <v>137</v>
      </c>
      <c r="B122" s="82">
        <f>IF(B$63,129.69,NA())</f>
        <v>129.69</v>
      </c>
      <c r="C122" s="82">
        <f>IF(C$63,43.1,NA())</f>
        <v>43.1</v>
      </c>
      <c r="D122" s="82">
        <f>IF(D$63,67.93,NA())</f>
        <v>67.930000000000007</v>
      </c>
      <c r="E122" s="82">
        <f>IF(E$63,77,NA())</f>
        <v>77</v>
      </c>
      <c r="F122" s="82">
        <f>IF(F$63,54.24,NA())</f>
        <v>54.24</v>
      </c>
      <c r="G122" s="82">
        <f>IF(G$63,52.88,NA())</f>
        <v>52.88</v>
      </c>
      <c r="H122" s="82" t="e">
        <f>IF(H$63,63.8,NA())</f>
        <v>#N/A</v>
      </c>
      <c r="I122" s="82" t="e">
        <f>IF(I$63,48.22,NA())</f>
        <v>#N/A</v>
      </c>
      <c r="J122" s="82" t="e">
        <f>IF(J$63,62.9,NA())</f>
        <v>#N/A</v>
      </c>
      <c r="K122" s="82" t="e">
        <f>IF(K$63,69.98,NA())</f>
        <v>#N/A</v>
      </c>
      <c r="L122" s="82" t="e">
        <f>IF(L$63,47.6,NA())</f>
        <v>#N/A</v>
      </c>
      <c r="M122" s="82" t="e">
        <f>IF(M$63,65.07,NA())</f>
        <v>#N/A</v>
      </c>
      <c r="N122" s="82" t="e">
        <f>IF(N$63,40.04,NA())</f>
        <v>#N/A</v>
      </c>
      <c r="O122" s="82">
        <f>IF(O$63,49.51,NA())</f>
        <v>49.51</v>
      </c>
      <c r="P122" s="82" t="e">
        <f>IF(P$63,40.62,NA())</f>
        <v>#N/A</v>
      </c>
      <c r="Q122" s="82" t="e">
        <f>IF(Q$63,51.74,NA())</f>
        <v>#N/A</v>
      </c>
      <c r="R122" s="82">
        <f>IF(R$63,42.18,NA())</f>
        <v>42.18</v>
      </c>
      <c r="S122" s="82" t="e">
        <f>IF(S$63,65.71,NA())</f>
        <v>#N/A</v>
      </c>
      <c r="T122" s="82" t="e">
        <f>IF(T$63,49.42,NA())</f>
        <v>#N/A</v>
      </c>
      <c r="U122" s="82" t="e">
        <f>IF(U$63,86.83,NA())</f>
        <v>#N/A</v>
      </c>
      <c r="V122" s="82">
        <f>IF(V$63,53.52,NA())</f>
        <v>53.52</v>
      </c>
      <c r="W122" s="82" t="e">
        <f>IF(W$63,59.49,NA())</f>
        <v>#N/A</v>
      </c>
      <c r="X122" s="82" t="e">
        <f>IF(X$63,54.67,NA())</f>
        <v>#N/A</v>
      </c>
      <c r="Y122" s="82" t="e">
        <f>IF(Y$63,35.91,NA())</f>
        <v>#N/A</v>
      </c>
      <c r="Z122" s="82" t="e">
        <f>IF(Z$63,51.59,NA())</f>
        <v>#N/A</v>
      </c>
      <c r="AA122" s="82" t="e">
        <f>IF(AA$63,42.86,NA())</f>
        <v>#N/A</v>
      </c>
      <c r="AB122" s="82" t="e">
        <f>NA()</f>
        <v>#N/A</v>
      </c>
      <c r="AC122" s="82" t="e">
        <f>IF(AC$63,45.33,NA())</f>
        <v>#N/A</v>
      </c>
      <c r="AD122" s="82" t="e">
        <f>IF(AD$63,39.47,NA())</f>
        <v>#N/A</v>
      </c>
      <c r="AE122" s="82" t="e">
        <f>IF(AE$63,49.41,NA())</f>
        <v>#N/A</v>
      </c>
      <c r="AF122" s="82" t="e">
        <f>IF(AF$63,40.18,NA())</f>
        <v>#N/A</v>
      </c>
      <c r="AG122" s="82" t="e">
        <f>IF(AG$63,41.72,NA())</f>
        <v>#N/A</v>
      </c>
      <c r="AH122" s="82" t="e">
        <f>IF(AH$63,35.5,NA())</f>
        <v>#N/A</v>
      </c>
      <c r="AI122" s="82">
        <f>IF(AI$63,37.67,NA())</f>
        <v>37.67</v>
      </c>
      <c r="AJ122" s="82" t="e">
        <f>IF(AJ$63,59.49,NA())</f>
        <v>#N/A</v>
      </c>
      <c r="AK122" s="82" t="e">
        <f>IF(AK$63,53.2,NA())</f>
        <v>#N/A</v>
      </c>
      <c r="AL122" s="82">
        <f>IF(AL$63,40.61,NA())</f>
        <v>40.61</v>
      </c>
      <c r="AM122" s="82" t="e">
        <f>IF(AM$63,28.93,NA())</f>
        <v>#N/A</v>
      </c>
      <c r="AN122" s="82" t="e">
        <f>IF(AN$63,49.63,NA())</f>
        <v>#N/A</v>
      </c>
      <c r="AO122" s="82" t="e">
        <f>IF(AO$63,37.49,NA())</f>
        <v>#N/A</v>
      </c>
      <c r="AP122" s="82" t="e">
        <f>IF(AP$63,41.52,NA())</f>
        <v>#N/A</v>
      </c>
      <c r="AQ122" s="82" t="e">
        <f>IF(AQ$63,41.4,NA())</f>
        <v>#N/A</v>
      </c>
      <c r="AR122" s="82" t="e">
        <f>IF(AR$63,29.22,NA())</f>
        <v>#N/A</v>
      </c>
      <c r="AS122" s="82" t="e">
        <f>IF(AS$63,36.05,NA())</f>
        <v>#N/A</v>
      </c>
      <c r="AT122" s="82" t="e">
        <f>IF(AT$63,42.72,NA())</f>
        <v>#N/A</v>
      </c>
      <c r="AU122" s="82">
        <f>IF(AU$63,30.56,NA())</f>
        <v>30.56</v>
      </c>
      <c r="AV122" s="82">
        <f>IF(AV$63,45.54,NA())</f>
        <v>45.54</v>
      </c>
      <c r="AW122" s="82" t="e">
        <f>IF(AW$63,51.9,NA())</f>
        <v>#N/A</v>
      </c>
      <c r="AX122" s="82" t="e">
        <f>IF(AX$63,47.61,NA())</f>
        <v>#N/A</v>
      </c>
      <c r="AY122" s="82" t="e">
        <f>IF(AY$63,46.49,NA())</f>
        <v>#N/A</v>
      </c>
    </row>
    <row r="123" spans="1:51" x14ac:dyDescent="0.3">
      <c r="A123" s="81" t="s">
        <v>138</v>
      </c>
      <c r="B123" s="82">
        <f>IF(B$63,121.77,NA())</f>
        <v>121.77</v>
      </c>
      <c r="C123" s="82">
        <f>IF(C$63,41.2,NA())</f>
        <v>41.2</v>
      </c>
      <c r="D123" s="82">
        <f>IF(D$63,68.65,NA())</f>
        <v>68.650000000000006</v>
      </c>
      <c r="E123" s="82">
        <f>IF(E$63,76.66,NA())</f>
        <v>76.66</v>
      </c>
      <c r="F123" s="82">
        <f>IF(F$63,51.36,NA())</f>
        <v>51.36</v>
      </c>
      <c r="G123" s="82">
        <f>IF(G$63,55.4,NA())</f>
        <v>55.4</v>
      </c>
      <c r="H123" s="82" t="e">
        <f>IF(H$63,61.15,NA())</f>
        <v>#N/A</v>
      </c>
      <c r="I123" s="82" t="e">
        <f>IF(I$63,46.76,NA())</f>
        <v>#N/A</v>
      </c>
      <c r="J123" s="82" t="e">
        <f>IF(J$63,62.39,NA())</f>
        <v>#N/A</v>
      </c>
      <c r="K123" s="82" t="e">
        <f>IF(K$63,66.47,NA())</f>
        <v>#N/A</v>
      </c>
      <c r="L123" s="82" t="e">
        <f>IF(L$63,46.64,NA())</f>
        <v>#N/A</v>
      </c>
      <c r="M123" s="82" t="e">
        <f>IF(M$63,61.48,NA())</f>
        <v>#N/A</v>
      </c>
      <c r="N123" s="82" t="e">
        <f>IF(N$63,39.28,NA())</f>
        <v>#N/A</v>
      </c>
      <c r="O123" s="82">
        <f>IF(O$63,51.06,NA())</f>
        <v>51.06</v>
      </c>
      <c r="P123" s="82" t="e">
        <f>IF(P$63,39.74,NA())</f>
        <v>#N/A</v>
      </c>
      <c r="Q123" s="82" t="e">
        <f>IF(Q$63,43.27,NA())</f>
        <v>#N/A</v>
      </c>
      <c r="R123" s="82">
        <f>IF(R$63,41.65,NA())</f>
        <v>41.65</v>
      </c>
      <c r="S123" s="82" t="e">
        <f>IF(S$63,63.54,NA())</f>
        <v>#N/A</v>
      </c>
      <c r="T123" s="82" t="e">
        <f>IF(T$63,47.34,NA())</f>
        <v>#N/A</v>
      </c>
      <c r="U123" s="82" t="e">
        <f>IF(U$63,82.23,NA())</f>
        <v>#N/A</v>
      </c>
      <c r="V123" s="82">
        <f>IF(V$63,50.89,NA())</f>
        <v>50.89</v>
      </c>
      <c r="W123" s="82" t="e">
        <f>IF(W$63,56.48,NA())</f>
        <v>#N/A</v>
      </c>
      <c r="X123" s="82" t="e">
        <f>IF(X$63,51.78,NA())</f>
        <v>#N/A</v>
      </c>
      <c r="Y123" s="82" t="e">
        <f>IF(Y$63,36.5,NA())</f>
        <v>#N/A</v>
      </c>
      <c r="Z123" s="82" t="e">
        <f>IF(Z$63,53.38,NA())</f>
        <v>#N/A</v>
      </c>
      <c r="AA123" s="82" t="e">
        <f>IF(AA$63,44.9,NA())</f>
        <v>#N/A</v>
      </c>
      <c r="AB123" s="82">
        <f>IF(AB$63,41.24,NA())</f>
        <v>41.24</v>
      </c>
      <c r="AC123" s="82" t="e">
        <f>IF(AC$63,45.13,NA())</f>
        <v>#N/A</v>
      </c>
      <c r="AD123" s="82" t="e">
        <f>IF(AD$63,37.55,NA())</f>
        <v>#N/A</v>
      </c>
      <c r="AE123" s="82" t="e">
        <f>IF(AE$63,48.7,NA())</f>
        <v>#N/A</v>
      </c>
      <c r="AF123" s="82" t="e">
        <f>IF(AF$63,42.92,NA())</f>
        <v>#N/A</v>
      </c>
      <c r="AG123" s="82" t="e">
        <f>IF(AG$63,40.23,NA())</f>
        <v>#N/A</v>
      </c>
      <c r="AH123" s="82" t="e">
        <f>IF(AH$63,36.53,NA())</f>
        <v>#N/A</v>
      </c>
      <c r="AI123" s="82">
        <f>IF(AI$63,39.93,NA())</f>
        <v>39.93</v>
      </c>
      <c r="AJ123" s="82" t="e">
        <f>IF(AJ$63,57.35,NA())</f>
        <v>#N/A</v>
      </c>
      <c r="AK123" s="82" t="e">
        <f>IF(AK$63,51.91,NA())</f>
        <v>#N/A</v>
      </c>
      <c r="AL123" s="82">
        <f>IF(AL$63,40.61,NA())</f>
        <v>40.61</v>
      </c>
      <c r="AM123" s="82" t="e">
        <f>IF(AM$63,31,NA())</f>
        <v>#N/A</v>
      </c>
      <c r="AN123" s="82" t="e">
        <f>IF(AN$63,48.37,NA())</f>
        <v>#N/A</v>
      </c>
      <c r="AO123" s="82" t="e">
        <f>IF(AO$63,36.57,NA())</f>
        <v>#N/A</v>
      </c>
      <c r="AP123" s="82" t="e">
        <f>IF(AP$63,39.44,NA())</f>
        <v>#N/A</v>
      </c>
      <c r="AQ123" s="82" t="e">
        <f>IF(AQ$63,39.03,NA())</f>
        <v>#N/A</v>
      </c>
      <c r="AR123" s="82" t="e">
        <f>IF(AR$63,30.91,NA())</f>
        <v>#N/A</v>
      </c>
      <c r="AS123" s="82" t="e">
        <f>IF(AS$63,34.18,NA())</f>
        <v>#N/A</v>
      </c>
      <c r="AT123" s="82" t="e">
        <f>IF(AT$63,41.07,NA())</f>
        <v>#N/A</v>
      </c>
      <c r="AU123" s="82">
        <f>IF(AU$63,29.6,NA())</f>
        <v>29.6</v>
      </c>
      <c r="AV123" s="82">
        <f>IF(AV$63,44.26,NA())</f>
        <v>44.26</v>
      </c>
      <c r="AW123" s="82" t="e">
        <f>IF(AW$63,49.91,NA())</f>
        <v>#N/A</v>
      </c>
      <c r="AX123" s="82" t="e">
        <f>IF(AX$63,48.46,NA())</f>
        <v>#N/A</v>
      </c>
      <c r="AY123" s="82" t="e">
        <f>IF(AY$63,42.56,NA())</f>
        <v>#N/A</v>
      </c>
    </row>
    <row r="124" spans="1:51" x14ac:dyDescent="0.3">
      <c r="A124" s="81" t="s">
        <v>139</v>
      </c>
      <c r="B124" s="82">
        <f>IF(B$63,116.32,NA())</f>
        <v>116.32</v>
      </c>
      <c r="C124" s="82">
        <f>IF(C$63,39.3,NA())</f>
        <v>39.299999999999997</v>
      </c>
      <c r="D124" s="82">
        <f>IF(D$63,67.22,NA())</f>
        <v>67.22</v>
      </c>
      <c r="E124" s="82">
        <f>IF(E$63,75.28,NA())</f>
        <v>75.28</v>
      </c>
      <c r="F124" s="82">
        <f>IF(F$63,51.84,NA())</f>
        <v>51.84</v>
      </c>
      <c r="G124" s="82">
        <f>IF(G$63,56.12,NA())</f>
        <v>56.12</v>
      </c>
      <c r="H124" s="82" t="e">
        <f>IF(H$63,59.82,NA())</f>
        <v>#N/A</v>
      </c>
      <c r="I124" s="82" t="e">
        <f>IF(I$63,45.83,NA())</f>
        <v>#N/A</v>
      </c>
      <c r="J124" s="82" t="e">
        <f>IF(J$63,60.74,NA())</f>
        <v>#N/A</v>
      </c>
      <c r="K124" s="82" t="e">
        <f>IF(K$63,68.6,NA())</f>
        <v>#N/A</v>
      </c>
      <c r="L124" s="82" t="e">
        <f>IF(L$63,44.44,NA())</f>
        <v>#N/A</v>
      </c>
      <c r="M124" s="82" t="e">
        <f>IF(M$63,59,NA())</f>
        <v>#N/A</v>
      </c>
      <c r="N124" s="82" t="e">
        <f>IF(N$63,40.79,NA())</f>
        <v>#N/A</v>
      </c>
      <c r="O124" s="82">
        <f>IF(O$63,55.31,NA())</f>
        <v>55.31</v>
      </c>
      <c r="P124" s="82" t="e">
        <f>IF(P$63,42.39,NA())</f>
        <v>#N/A</v>
      </c>
      <c r="Q124" s="82" t="e">
        <f>IF(Q$63,44.21,NA())</f>
        <v>#N/A</v>
      </c>
      <c r="R124" s="82">
        <f>IF(R$63,40.91,NA())</f>
        <v>40.909999999999997</v>
      </c>
      <c r="S124" s="82" t="e">
        <f>IF(S$63,59.99,NA())</f>
        <v>#N/A</v>
      </c>
      <c r="T124" s="82" t="e">
        <f>IF(T$63,46.45,NA())</f>
        <v>#N/A</v>
      </c>
      <c r="U124" s="82" t="e">
        <f>IF(U$63,76.48,NA())</f>
        <v>#N/A</v>
      </c>
      <c r="V124" s="82">
        <f>IF(V$63,47.38,NA())</f>
        <v>47.38</v>
      </c>
      <c r="W124" s="82" t="e">
        <f>IF(W$63,54.97,NA())</f>
        <v>#N/A</v>
      </c>
      <c r="X124" s="82" t="e">
        <f>IF(X$63,50.84,NA())</f>
        <v>#N/A</v>
      </c>
      <c r="Y124" s="82" t="e">
        <f>IF(Y$63,36.5,NA())</f>
        <v>#N/A</v>
      </c>
      <c r="Z124" s="82" t="e">
        <f>IF(Z$63,53.02,NA())</f>
        <v>#N/A</v>
      </c>
      <c r="AA124" s="82" t="e">
        <f>IF(AA$63,49.66,NA())</f>
        <v>#N/A</v>
      </c>
      <c r="AB124" s="82">
        <f>IF(AB$63,41.06,NA())</f>
        <v>41.06</v>
      </c>
      <c r="AC124" s="82" t="e">
        <f>IF(AC$63,44.82,NA())</f>
        <v>#N/A</v>
      </c>
      <c r="AD124" s="82" t="e">
        <f>IF(AD$63,37.55,NA())</f>
        <v>#N/A</v>
      </c>
      <c r="AE124" s="82" t="e">
        <f>IF(AE$63,46.71,NA())</f>
        <v>#N/A</v>
      </c>
      <c r="AF124" s="82" t="e">
        <f>IF(AF$63,41.09,NA())</f>
        <v>#N/A</v>
      </c>
      <c r="AG124" s="82" t="e">
        <f>IF(AG$63,38,NA())</f>
        <v>#N/A</v>
      </c>
      <c r="AH124" s="82" t="e">
        <f>IF(AH$63,35.5,NA())</f>
        <v>#N/A</v>
      </c>
      <c r="AI124" s="82">
        <f>IF(AI$63,41.44,NA())</f>
        <v>41.44</v>
      </c>
      <c r="AJ124" s="82" t="e">
        <f>IF(AJ$63,58.21,NA())</f>
        <v>#N/A</v>
      </c>
      <c r="AK124" s="82" t="e">
        <f>IF(AK$63,47.15,NA())</f>
        <v>#N/A</v>
      </c>
      <c r="AL124" s="82">
        <f>IF(AL$63,41.93,NA())</f>
        <v>41.93</v>
      </c>
      <c r="AM124" s="82" t="e">
        <f>IF(AM$63,30.31,NA())</f>
        <v>#N/A</v>
      </c>
      <c r="AN124" s="82" t="e">
        <f>IF(AN$63,48.37,NA())</f>
        <v>#N/A</v>
      </c>
      <c r="AO124" s="82" t="e">
        <f>IF(AO$63,35.64,NA())</f>
        <v>#N/A</v>
      </c>
      <c r="AP124" s="82" t="e">
        <f>IF(AP$63,39.96,NA())</f>
        <v>#N/A</v>
      </c>
      <c r="AQ124" s="82" t="e">
        <f>IF(AQ$63,39.03,NA())</f>
        <v>#N/A</v>
      </c>
      <c r="AR124" s="82" t="e">
        <f>IF(AR$63,31.47,NA())</f>
        <v>#N/A</v>
      </c>
      <c r="AS124" s="82" t="e">
        <f>IF(AS$63,33.5,NA())</f>
        <v>#N/A</v>
      </c>
      <c r="AT124" s="82" t="e">
        <f>IF(AT$63,38.66,NA())</f>
        <v>#N/A</v>
      </c>
      <c r="AU124" s="82">
        <f>IF(AU$63,32.47,NA())</f>
        <v>32.47</v>
      </c>
      <c r="AV124" s="82">
        <f>IF(AV$63,42.99,NA())</f>
        <v>42.99</v>
      </c>
      <c r="AW124" s="82" t="e">
        <f>IF(AW$63,49.91,NA())</f>
        <v>#N/A</v>
      </c>
      <c r="AX124" s="82" t="e">
        <f>IF(AX$63,51.87,NA())</f>
        <v>#N/A</v>
      </c>
      <c r="AY124" s="82" t="e">
        <f>IF(AY$63,39.85,NA())</f>
        <v>#N/A</v>
      </c>
    </row>
    <row r="125" spans="1:51" x14ac:dyDescent="0.3">
      <c r="A125" s="81" t="s">
        <v>140</v>
      </c>
      <c r="B125" s="82">
        <f>IF(B$63,111.74,NA())</f>
        <v>111.74</v>
      </c>
      <c r="C125" s="82">
        <f>IF(C$63,39.93,NA())</f>
        <v>39.93</v>
      </c>
      <c r="D125" s="82">
        <f>IF(D$63,65.07,NA())</f>
        <v>65.069999999999993</v>
      </c>
      <c r="E125" s="82">
        <f>IF(E$63,67.68,NA())</f>
        <v>67.680000000000007</v>
      </c>
      <c r="F125" s="82">
        <f>IF(F$63,54.72,NA())</f>
        <v>54.72</v>
      </c>
      <c r="G125" s="82">
        <f>IF(G$63,56.84,NA())</f>
        <v>56.84</v>
      </c>
      <c r="H125" s="82" t="e">
        <f>IF(H$63,59.58,NA())</f>
        <v>#N/A</v>
      </c>
      <c r="I125" s="82" t="e">
        <f>IF(I$63,46.76,NA())</f>
        <v>#N/A</v>
      </c>
      <c r="J125" s="82" t="e">
        <f>IF(J$63,59.53,NA())</f>
        <v>#N/A</v>
      </c>
      <c r="K125" s="82" t="e">
        <f>IF(K$63,67.22,NA())</f>
        <v>#N/A</v>
      </c>
      <c r="L125" s="82" t="e">
        <f>IF(L$63,44.31,NA())</f>
        <v>#N/A</v>
      </c>
      <c r="M125" s="82" t="e">
        <f>IF(M$63,53.49,NA())</f>
        <v>#N/A</v>
      </c>
      <c r="N125" s="82" t="e">
        <f>IF(N$63,43.06,NA())</f>
        <v>#N/A</v>
      </c>
      <c r="O125" s="82">
        <f>IF(O$63,57.25,NA())</f>
        <v>57.25</v>
      </c>
      <c r="P125" s="82" t="e">
        <f>IF(P$63,44.15,NA())</f>
        <v>#N/A</v>
      </c>
      <c r="Q125" s="82" t="e">
        <f>IF(Q$63,41.39,NA())</f>
        <v>#N/A</v>
      </c>
      <c r="R125" s="82">
        <f>IF(R$63,41.65,NA())</f>
        <v>41.65</v>
      </c>
      <c r="S125" s="82" t="e">
        <f>IF(S$63,55.25,NA())</f>
        <v>#N/A</v>
      </c>
      <c r="T125" s="82" t="e">
        <f>IF(T$63,46.89,NA())</f>
        <v>#N/A</v>
      </c>
      <c r="U125" s="82" t="e">
        <f>IF(U$63,73.03,NA())</f>
        <v>#N/A</v>
      </c>
      <c r="V125" s="82">
        <f>IF(V$63,47.38,NA())</f>
        <v>47.38</v>
      </c>
      <c r="W125" s="82" t="e">
        <f>IF(W$63,54.01,NA())</f>
        <v>#N/A</v>
      </c>
      <c r="X125" s="82" t="e">
        <f>IF(X$63,49.25,NA())</f>
        <v>#N/A</v>
      </c>
      <c r="Y125" s="82" t="e">
        <f>IF(Y$63,35.32,NA())</f>
        <v>#N/A</v>
      </c>
      <c r="Z125" s="82" t="e">
        <f>IF(Z$63,53.38,NA())</f>
        <v>#N/A</v>
      </c>
      <c r="AA125" s="82" t="e">
        <f>IF(AA$63,46.94,NA())</f>
        <v>#N/A</v>
      </c>
      <c r="AB125" s="82">
        <f>IF(AB$63,41.75,NA())</f>
        <v>41.75</v>
      </c>
      <c r="AC125" s="82" t="e">
        <f>IF(AC$63,42.99,NA())</f>
        <v>#N/A</v>
      </c>
      <c r="AD125" s="82" t="e">
        <f>IF(AD$63,35.62,NA())</f>
        <v>#N/A</v>
      </c>
      <c r="AE125" s="82" t="e">
        <f>IF(AE$63,44.86,NA())</f>
        <v>#N/A</v>
      </c>
      <c r="AF125" s="82" t="e">
        <f>IF(AF$63,37.44,NA())</f>
        <v>#N/A</v>
      </c>
      <c r="AG125" s="82" t="e">
        <f>IF(AG$63,40.98,NA())</f>
        <v>#N/A</v>
      </c>
      <c r="AH125" s="82" t="e">
        <f>IF(AH$63,36.02,NA())</f>
        <v>#N/A</v>
      </c>
      <c r="AI125" s="82">
        <f>IF(AI$63,35.41,NA())</f>
        <v>35.409999999999997</v>
      </c>
      <c r="AJ125" s="82" t="e">
        <f>IF(AJ$63,56.49,NA())</f>
        <v>#N/A</v>
      </c>
      <c r="AK125" s="82" t="e">
        <f>IF(AK$63,46.07,NA())</f>
        <v>#N/A</v>
      </c>
      <c r="AL125" s="82">
        <f>IF(AL$63,39.95,NA())</f>
        <v>39.950000000000003</v>
      </c>
      <c r="AM125" s="82" t="e">
        <f>IF(AM$63,31.69,NA())</f>
        <v>#N/A</v>
      </c>
      <c r="AN125" s="82" t="e">
        <f>IF(AN$63,45.09,NA())</f>
        <v>#N/A</v>
      </c>
      <c r="AO125" s="82" t="e">
        <f>IF(AO$63,35.46,NA())</f>
        <v>#N/A</v>
      </c>
      <c r="AP125" s="82" t="e">
        <f>IF(AP$63,39.44,NA())</f>
        <v>#N/A</v>
      </c>
      <c r="AQ125" s="82" t="e">
        <f>IF(AQ$63,38.83,NA())</f>
        <v>#N/A</v>
      </c>
      <c r="AR125" s="82" t="e">
        <f>IF(AR$63,33.72,NA())</f>
        <v>#N/A</v>
      </c>
      <c r="AS125" s="82" t="e">
        <f>IF(AS$63,34.18,NA())</f>
        <v>#N/A</v>
      </c>
      <c r="AT125" s="82" t="e">
        <f>IF(AT$63,38.88,NA())</f>
        <v>#N/A</v>
      </c>
      <c r="AU125" s="82">
        <f>IF(AU$63,30.56,NA())</f>
        <v>30.56</v>
      </c>
      <c r="AV125" s="82">
        <f>IF(AV$63,40.43,NA())</f>
        <v>40.43</v>
      </c>
      <c r="AW125" s="82" t="e">
        <f>IF(AW$63,51.9,NA())</f>
        <v>#N/A</v>
      </c>
      <c r="AX125" s="82" t="e">
        <f>IF(AX$63,51.01,NA())</f>
        <v>#N/A</v>
      </c>
      <c r="AY125" s="82" t="e">
        <f>IF(AY$63,39.85,NA())</f>
        <v>#N/A</v>
      </c>
    </row>
    <row r="126" spans="1:51" x14ac:dyDescent="0.3">
      <c r="A126" s="81" t="s">
        <v>141</v>
      </c>
      <c r="B126" s="82">
        <f>IF(B$63,109.45,NA())</f>
        <v>109.45</v>
      </c>
      <c r="C126" s="82">
        <f>IF(C$63,43.74,NA())</f>
        <v>43.74</v>
      </c>
      <c r="D126" s="82">
        <f>IF(D$63,60.78,NA())</f>
        <v>60.78</v>
      </c>
      <c r="E126" s="82">
        <f>IF(E$63,63.19,NA())</f>
        <v>63.19</v>
      </c>
      <c r="F126" s="82">
        <f>IF(F$63,52.8,NA())</f>
        <v>52.8</v>
      </c>
      <c r="G126" s="82">
        <f>IF(G$63,59.36,NA())</f>
        <v>59.36</v>
      </c>
      <c r="H126" s="82" t="e">
        <f>IF(H$63,59.58,NA())</f>
        <v>#N/A</v>
      </c>
      <c r="I126" s="82" t="e">
        <f>IF(I$63,46.36,NA())</f>
        <v>#N/A</v>
      </c>
      <c r="J126" s="82" t="e">
        <f>IF(J$63,58.96,NA())</f>
        <v>#N/A</v>
      </c>
      <c r="K126" s="82" t="e">
        <f>IF(K$63,63.32,NA())</f>
        <v>#N/A</v>
      </c>
      <c r="L126" s="82" t="e">
        <f>IF(L$63,45.81,NA())</f>
        <v>#N/A</v>
      </c>
      <c r="M126" s="82" t="e">
        <f>IF(M$63,54.31,NA())</f>
        <v>#N/A</v>
      </c>
      <c r="N126" s="82" t="e">
        <f>IF(N$63,43.06,NA())</f>
        <v>#N/A</v>
      </c>
      <c r="O126" s="82">
        <f>IF(O$63,57.64,NA())</f>
        <v>57.64</v>
      </c>
      <c r="P126" s="82" t="e">
        <f>IF(P$63,48.13,NA())</f>
        <v>#N/A</v>
      </c>
      <c r="Q126" s="82" t="e">
        <f>IF(Q$63,39.51,NA())</f>
        <v>#N/A</v>
      </c>
      <c r="R126" s="82">
        <f>IF(R$63,43.67,NA())</f>
        <v>43.67</v>
      </c>
      <c r="S126" s="82" t="e">
        <f>IF(S$63,53.28,NA())</f>
        <v>#N/A</v>
      </c>
      <c r="T126" s="82" t="e">
        <f>IF(T$63,46,NA())</f>
        <v>#N/A</v>
      </c>
      <c r="U126" s="82" t="e">
        <f>IF(U$63,69.58,NA())</f>
        <v>#N/A</v>
      </c>
      <c r="V126" s="82">
        <f>IF(V$63,46.5,NA())</f>
        <v>46.5</v>
      </c>
      <c r="W126" s="82" t="e">
        <f>IF(W$63,52.78,NA())</f>
        <v>#N/A</v>
      </c>
      <c r="X126" s="82" t="e">
        <f>IF(X$63,47.74,NA())</f>
        <v>#N/A</v>
      </c>
      <c r="Y126" s="82" t="e">
        <f>IF(Y$63,35.32,NA())</f>
        <v>#N/A</v>
      </c>
      <c r="Z126" s="82" t="e">
        <f>IF(Z$63,50.52,NA())</f>
        <v>#N/A</v>
      </c>
      <c r="AA126" s="82" t="e">
        <f>IF(AA$63,42.18,NA())</f>
        <v>#N/A</v>
      </c>
      <c r="AB126" s="82">
        <f>IF(AB$63,41.36,NA())</f>
        <v>41.36</v>
      </c>
      <c r="AC126" s="82" t="e">
        <f>IF(AC$63,41.87,NA())</f>
        <v>#N/A</v>
      </c>
      <c r="AD126" s="82" t="e">
        <f>IF(AD$63,34.66,NA())</f>
        <v>#N/A</v>
      </c>
      <c r="AE126" s="82" t="e">
        <f>IF(AE$63,44.57,NA())</f>
        <v>#N/A</v>
      </c>
      <c r="AF126" s="82" t="e">
        <f>IF(AF$63,38.35,NA())</f>
        <v>#N/A</v>
      </c>
      <c r="AG126" s="82" t="e">
        <f>IF(AG$63,40.23,NA())</f>
        <v>#N/A</v>
      </c>
      <c r="AH126" s="82" t="e">
        <f>IF(AH$63,38.59,NA())</f>
        <v>#N/A</v>
      </c>
      <c r="AI126" s="82">
        <f>IF(AI$63,36.92,NA())</f>
        <v>36.92</v>
      </c>
      <c r="AJ126" s="82" t="e">
        <f>IF(AJ$63,53.5,NA())</f>
        <v>#N/A</v>
      </c>
      <c r="AK126" s="82" t="e">
        <f>IF(AK$63,46.18,NA())</f>
        <v>#N/A</v>
      </c>
      <c r="AL126" s="82">
        <f>IF(AL$63,41.6,NA())</f>
        <v>41.6</v>
      </c>
      <c r="AM126" s="82" t="e">
        <f>IF(AM$63,32.38,NA())</f>
        <v>#N/A</v>
      </c>
      <c r="AN126" s="82" t="e">
        <f>IF(AN$63,43.08,NA())</f>
        <v>#N/A</v>
      </c>
      <c r="AO126" s="82" t="e">
        <f>IF(AO$63,35.46,NA())</f>
        <v>#N/A</v>
      </c>
      <c r="AP126" s="82" t="e">
        <f>IF(AP$63,36.85,NA())</f>
        <v>#N/A</v>
      </c>
      <c r="AQ126" s="82" t="e">
        <f>IF(AQ$63,38.24,NA())</f>
        <v>#N/A</v>
      </c>
      <c r="AR126" s="82" t="e">
        <f>IF(AR$63,35.97,NA())</f>
        <v>#N/A</v>
      </c>
      <c r="AS126" s="82" t="e">
        <f>IF(AS$63,35.88,NA())</f>
        <v>#N/A</v>
      </c>
      <c r="AT126" s="82" t="e">
        <f>IF(AT$63,38.66,NA())</f>
        <v>#N/A</v>
      </c>
      <c r="AU126" s="82">
        <f>IF(AU$63,33.42,NA())</f>
        <v>33.42</v>
      </c>
      <c r="AV126" s="82">
        <f>IF(AV$63,37.03,NA())</f>
        <v>37.03</v>
      </c>
      <c r="AW126" s="82" t="e">
        <f>IF(AW$63,51.9,NA())</f>
        <v>#N/A</v>
      </c>
      <c r="AX126" s="82" t="e">
        <f>IF(AX$63,52.72,NA())</f>
        <v>#N/A</v>
      </c>
      <c r="AY126" s="82" t="e">
        <f>IF(AY$63,37.73,NA())</f>
        <v>#N/A</v>
      </c>
    </row>
    <row r="127" spans="1:51" x14ac:dyDescent="0.3">
      <c r="A127" s="81" t="s">
        <v>142</v>
      </c>
      <c r="B127" s="82">
        <f>IF(B$63,105.58,NA())</f>
        <v>105.58</v>
      </c>
      <c r="C127" s="82">
        <f>IF(C$63,48.17,NA())</f>
        <v>48.17</v>
      </c>
      <c r="D127" s="82">
        <f>IF(D$63,64.71,NA())</f>
        <v>64.709999999999994</v>
      </c>
      <c r="E127" s="82">
        <f>IF(E$63,60.08,NA())</f>
        <v>60.08</v>
      </c>
      <c r="F127" s="82">
        <f>IF(F$63,56.16,NA())</f>
        <v>56.16</v>
      </c>
      <c r="G127" s="82">
        <f>IF(G$63,59.36,NA())</f>
        <v>59.36</v>
      </c>
      <c r="H127" s="82" t="e">
        <f>IF(H$63,60.42,NA())</f>
        <v>#N/A</v>
      </c>
      <c r="I127" s="82" t="e">
        <f>IF(I$63,46.36,NA())</f>
        <v>#N/A</v>
      </c>
      <c r="J127" s="82" t="e">
        <f>IF(J$63,58.33,NA())</f>
        <v>#N/A</v>
      </c>
      <c r="K127" s="82" t="e">
        <f>IF(K$63,62.7,NA())</f>
        <v>#N/A</v>
      </c>
      <c r="L127" s="82" t="e">
        <f>IF(L$63,44.72,NA())</f>
        <v>#N/A</v>
      </c>
      <c r="M127" s="82" t="e">
        <f>IF(M$63,52.11,NA())</f>
        <v>#N/A</v>
      </c>
      <c r="N127" s="82" t="e">
        <f>IF(N$63,43.81,NA())</f>
        <v>#N/A</v>
      </c>
      <c r="O127" s="82">
        <f>IF(O$63,58.8,NA())</f>
        <v>58.8</v>
      </c>
      <c r="P127" s="82" t="e">
        <f>IF(P$63,49.01,NA())</f>
        <v>#N/A</v>
      </c>
      <c r="Q127" s="82" t="e">
        <f>IF(Q$63,41.39,NA())</f>
        <v>#N/A</v>
      </c>
      <c r="R127" s="82">
        <f>IF(R$63,43.99,NA())</f>
        <v>43.99</v>
      </c>
      <c r="S127" s="82" t="e">
        <f>IF(S$63,51.5,NA())</f>
        <v>#N/A</v>
      </c>
      <c r="T127" s="82" t="e">
        <f>IF(T$63,43.32,NA())</f>
        <v>#N/A</v>
      </c>
      <c r="U127" s="82" t="e">
        <f>IF(U$63,64.98,NA())</f>
        <v>#N/A</v>
      </c>
      <c r="V127" s="82">
        <f>IF(V$63,42.99,NA())</f>
        <v>42.99</v>
      </c>
      <c r="W127" s="82" t="e">
        <f>IF(W$63,50.99,NA())</f>
        <v>#N/A</v>
      </c>
      <c r="X127" s="82" t="e">
        <f>IF(X$63,45.93,NA())</f>
        <v>#N/A</v>
      </c>
      <c r="Y127" s="82" t="e">
        <f>IF(Y$63,37.68,NA())</f>
        <v>#N/A</v>
      </c>
      <c r="Z127" s="82" t="e">
        <f>IF(Z$63,49.8,NA())</f>
        <v>#N/A</v>
      </c>
      <c r="AA127" s="82" t="e">
        <f>IF(AA$63,41.5,NA())</f>
        <v>#N/A</v>
      </c>
      <c r="AB127" s="82">
        <f>IF(AB$63,40.64,NA())</f>
        <v>40.64</v>
      </c>
      <c r="AC127" s="82" t="e">
        <f>IF(AC$63,41.87,NA())</f>
        <v>#N/A</v>
      </c>
      <c r="AD127" s="82" t="e">
        <f>IF(AD$63,36.59,NA())</f>
        <v>#N/A</v>
      </c>
      <c r="AE127" s="82" t="e">
        <f>IF(AE$63,44.14,NA())</f>
        <v>#N/A</v>
      </c>
      <c r="AF127" s="82" t="e">
        <f>IF(AF$63,37.44,NA())</f>
        <v>#N/A</v>
      </c>
      <c r="AG127" s="82" t="e">
        <f>IF(AG$63,39.49,NA())</f>
        <v>#N/A</v>
      </c>
      <c r="AH127" s="82" t="e">
        <f>IF(AH$63,40.65,NA())</f>
        <v>#N/A</v>
      </c>
      <c r="AI127" s="82">
        <f>IF(AI$63,36.16,NA())</f>
        <v>36.159999999999997</v>
      </c>
      <c r="AJ127" s="82" t="e">
        <f>IF(AJ$63,49.65,NA())</f>
        <v>#N/A</v>
      </c>
      <c r="AK127" s="82" t="e">
        <f>IF(AK$63,44.66,NA())</f>
        <v>#N/A</v>
      </c>
      <c r="AL127" s="82">
        <f>IF(AL$63,41.93,NA())</f>
        <v>41.93</v>
      </c>
      <c r="AM127" s="82" t="e">
        <f>IF(AM$63,35.13,NA())</f>
        <v>#N/A</v>
      </c>
      <c r="AN127" s="82" t="e">
        <f>IF(AN$63,42.07,NA())</f>
        <v>#N/A</v>
      </c>
      <c r="AO127" s="82" t="e">
        <f>IF(AO$63,35.83,NA())</f>
        <v>#N/A</v>
      </c>
      <c r="AP127" s="82" t="e">
        <f>IF(AP$63,36.33,NA())</f>
        <v>#N/A</v>
      </c>
      <c r="AQ127" s="82" t="e">
        <f>IF(AQ$63,36.86,NA())</f>
        <v>#N/A</v>
      </c>
      <c r="AR127" s="82" t="e">
        <f>IF(AR$63,34.84,NA())</f>
        <v>#N/A</v>
      </c>
      <c r="AS127" s="82" t="e">
        <f>IF(AS$63,36.05,NA())</f>
        <v>#N/A</v>
      </c>
      <c r="AT127" s="82" t="e">
        <f>IF(AT$63,38.33,NA())</f>
        <v>#N/A</v>
      </c>
      <c r="AU127" s="82">
        <f>IF(AU$63,31.51,NA())</f>
        <v>31.51</v>
      </c>
      <c r="AV127" s="82">
        <f>IF(AV$63,35.33,NA())</f>
        <v>35.33</v>
      </c>
      <c r="AW127" s="82" t="e">
        <f>IF(AW$63,44.92,NA())</f>
        <v>#N/A</v>
      </c>
      <c r="AX127" s="82" t="e">
        <f>IF(AX$63,52.72,NA())</f>
        <v>#N/A</v>
      </c>
      <c r="AY127" s="82" t="e">
        <f>IF(AY$63,35.62,NA())</f>
        <v>#N/A</v>
      </c>
    </row>
    <row r="128" spans="1:51" x14ac:dyDescent="0.3">
      <c r="A128" s="81" t="s">
        <v>143</v>
      </c>
      <c r="B128" s="82">
        <f>IF(B$63,106.64,NA())</f>
        <v>106.64</v>
      </c>
      <c r="C128" s="82">
        <f>IF(C$63,51.34,NA())</f>
        <v>51.34</v>
      </c>
      <c r="D128" s="82">
        <f>IF(D$63,66.14,NA())</f>
        <v>66.14</v>
      </c>
      <c r="E128" s="82">
        <f>IF(E$63,61.12,NA())</f>
        <v>61.12</v>
      </c>
      <c r="F128" s="82">
        <f>IF(F$63,53.28,NA())</f>
        <v>53.28</v>
      </c>
      <c r="G128" s="82">
        <f>IF(G$63,59.72,NA())</f>
        <v>59.72</v>
      </c>
      <c r="H128" s="82" t="e">
        <f>IF(H$63,59.09,NA())</f>
        <v>#N/A</v>
      </c>
      <c r="I128" s="82" t="e">
        <f>IF(I$63,48.35,NA())</f>
        <v>#N/A</v>
      </c>
      <c r="J128" s="82" t="e">
        <f>IF(J$63,57.94,NA())</f>
        <v>#N/A</v>
      </c>
      <c r="K128" s="82" t="e">
        <f>IF(K$63,62.07,NA())</f>
        <v>#N/A</v>
      </c>
      <c r="L128" s="82" t="e">
        <f>IF(L$63,46.36,NA())</f>
        <v>#N/A</v>
      </c>
      <c r="M128" s="82" t="e">
        <f>IF(M$63,52.94,NA())</f>
        <v>#N/A</v>
      </c>
      <c r="N128" s="82" t="e">
        <f>IF(N$63,43.81,NA())</f>
        <v>#N/A</v>
      </c>
      <c r="O128" s="82">
        <f>IF(O$63,54.93,NA())</f>
        <v>54.93</v>
      </c>
      <c r="P128" s="82" t="e">
        <f>IF(P$63,50.34,NA())</f>
        <v>#N/A</v>
      </c>
      <c r="Q128" s="82" t="e">
        <f>IF(Q$63,43.27,NA())</f>
        <v>#N/A</v>
      </c>
      <c r="R128" s="82">
        <f>IF(R$63,46.75,NA())</f>
        <v>46.75</v>
      </c>
      <c r="S128" s="82" t="e">
        <f>IF(S$63,51.31,NA())</f>
        <v>#N/A</v>
      </c>
      <c r="T128" s="82" t="e">
        <f>IF(T$63,43.77,NA())</f>
        <v>#N/A</v>
      </c>
      <c r="U128" s="82" t="e">
        <f>IF(U$63,61.53,NA())</f>
        <v>#N/A</v>
      </c>
      <c r="V128" s="82">
        <f>IF(V$63,45.62,NA())</f>
        <v>45.62</v>
      </c>
      <c r="W128" s="82" t="e">
        <f>IF(W$63,50.72,NA())</f>
        <v>#N/A</v>
      </c>
      <c r="X128" s="82" t="e">
        <f>IF(X$63,45.64,NA())</f>
        <v>#N/A</v>
      </c>
      <c r="Y128" s="82" t="e">
        <f>IF(Y$63,40.03,NA())</f>
        <v>#N/A</v>
      </c>
      <c r="Z128" s="82" t="e">
        <f>IF(Z$63,49.44,NA())</f>
        <v>#N/A</v>
      </c>
      <c r="AA128" s="82" t="e">
        <f>IF(AA$63,42.18,NA())</f>
        <v>#N/A</v>
      </c>
      <c r="AB128" s="82">
        <f>IF(AB$63,41.36,NA())</f>
        <v>41.36</v>
      </c>
      <c r="AC128" s="82" t="e">
        <f>IF(AC$63,41.26,NA())</f>
        <v>#N/A</v>
      </c>
      <c r="AD128" s="82" t="e">
        <f>IF(AD$63,37.55,NA())</f>
        <v>#N/A</v>
      </c>
      <c r="AE128" s="82" t="e">
        <f>IF(AE$63,44.71,NA())</f>
        <v>#N/A</v>
      </c>
      <c r="AF128" s="82" t="e">
        <f>IF(AF$63,39.26,NA())</f>
        <v>#N/A</v>
      </c>
      <c r="AG128" s="82" t="e">
        <f>IF(AG$63,38,NA())</f>
        <v>#N/A</v>
      </c>
      <c r="AH128" s="82" t="e">
        <f>IF(AH$63,41.68,NA())</f>
        <v>#N/A</v>
      </c>
      <c r="AI128" s="82">
        <f>IF(AI$63,33.15,NA())</f>
        <v>33.15</v>
      </c>
      <c r="AJ128" s="82" t="e">
        <f>IF(AJ$63,46.22,NA())</f>
        <v>#N/A</v>
      </c>
      <c r="AK128" s="82" t="e">
        <f>IF(AK$63,42.93,NA())</f>
        <v>#N/A</v>
      </c>
      <c r="AL128" s="82">
        <f>IF(AL$63,41.27,NA())</f>
        <v>41.27</v>
      </c>
      <c r="AM128" s="82" t="e">
        <f>IF(AM$63,37.2,NA())</f>
        <v>#N/A</v>
      </c>
      <c r="AN128" s="82" t="e">
        <f>IF(AN$63,41.95,NA())</f>
        <v>#N/A</v>
      </c>
      <c r="AO128" s="82" t="e">
        <f>IF(AO$63,36.75,NA())</f>
        <v>#N/A</v>
      </c>
      <c r="AP128" s="82" t="e">
        <f>IF(AP$63,35.29,NA())</f>
        <v>#N/A</v>
      </c>
      <c r="AQ128" s="82" t="e">
        <f>IF(AQ$63,36.86,NA())</f>
        <v>#N/A</v>
      </c>
      <c r="AR128" s="82" t="e">
        <f>IF(AR$63,33.16,NA())</f>
        <v>#N/A</v>
      </c>
      <c r="AS128" s="82" t="e">
        <f>IF(AS$63,36.22,NA())</f>
        <v>#N/A</v>
      </c>
      <c r="AT128" s="82" t="e">
        <f>IF(AT$63,38.55,NA())</f>
        <v>#N/A</v>
      </c>
      <c r="AU128" s="82">
        <f>IF(AU$63,29.6,NA())</f>
        <v>29.6</v>
      </c>
      <c r="AV128" s="82">
        <f>IF(AV$63,37.88,NA())</f>
        <v>37.880000000000003</v>
      </c>
      <c r="AW128" s="82" t="e">
        <f>IF(AW$63,40.92,NA())</f>
        <v>#N/A</v>
      </c>
      <c r="AX128" s="82" t="e">
        <f>IF(AX$63,50.16,NA())</f>
        <v>#N/A</v>
      </c>
      <c r="AY128" s="82" t="e">
        <f>IF(AY$63,32.6,NA())</f>
        <v>#N/A</v>
      </c>
    </row>
    <row r="129" spans="1:51" x14ac:dyDescent="0.3">
      <c r="A129" s="81" t="s">
        <v>144</v>
      </c>
      <c r="B129" s="82">
        <f>IF(B$63,101.54,NA())</f>
        <v>101.54</v>
      </c>
      <c r="C129" s="82">
        <f>IF(C$63,57.68,NA())</f>
        <v>57.68</v>
      </c>
      <c r="D129" s="82">
        <f>IF(D$63,64,NA())</f>
        <v>64</v>
      </c>
      <c r="E129" s="82">
        <f>IF(E$63,61.46,NA())</f>
        <v>61.46</v>
      </c>
      <c r="F129" s="82">
        <f>IF(F$63,55.68,NA())</f>
        <v>55.68</v>
      </c>
      <c r="G129" s="82">
        <f>IF(G$63,59.54,NA())</f>
        <v>59.54</v>
      </c>
      <c r="H129" s="82" t="e">
        <f>IF(H$63,58.61,NA())</f>
        <v>#N/A</v>
      </c>
      <c r="I129" s="82" t="e">
        <f>IF(I$63,49.68,NA())</f>
        <v>#N/A</v>
      </c>
      <c r="J129" s="82" t="e">
        <f>IF(J$63,58.26,NA())</f>
        <v>#N/A</v>
      </c>
      <c r="K129" s="82" t="e">
        <f>IF(K$63,61.69,NA())</f>
        <v>#N/A</v>
      </c>
      <c r="L129" s="82" t="e">
        <f>IF(L$63,47.74,NA())</f>
        <v>#N/A</v>
      </c>
      <c r="M129" s="82" t="e">
        <f>IF(M$63,52.66,NA())</f>
        <v>#N/A</v>
      </c>
      <c r="N129" s="82" t="e">
        <f>IF(N$63,43.81,NA())</f>
        <v>#N/A</v>
      </c>
      <c r="O129" s="82">
        <f>IF(O$63,55.31,NA())</f>
        <v>55.31</v>
      </c>
      <c r="P129" s="82" t="e">
        <f>IF(P$63,51.22,NA())</f>
        <v>#N/A</v>
      </c>
      <c r="Q129" s="82" t="e">
        <f>IF(Q$63,47.03,NA())</f>
        <v>#N/A</v>
      </c>
      <c r="R129" s="82">
        <f>IF(R$63,47.49,NA())</f>
        <v>47.49</v>
      </c>
      <c r="S129" s="82" t="e">
        <f>IF(S$63,49.33,NA())</f>
        <v>#N/A</v>
      </c>
      <c r="T129" s="82" t="e">
        <f>IF(T$63,44.51,NA())</f>
        <v>#N/A</v>
      </c>
      <c r="U129" s="82" t="e">
        <f>IF(U$63,55.78,NA())</f>
        <v>#N/A</v>
      </c>
      <c r="V129" s="82">
        <f>IF(V$63,45.62,NA())</f>
        <v>45.62</v>
      </c>
      <c r="W129" s="82" t="e">
        <f>IF(W$63,49.49,NA())</f>
        <v>#N/A</v>
      </c>
      <c r="X129" s="82" t="e">
        <f>IF(X$63,44.49,NA())</f>
        <v>#N/A</v>
      </c>
      <c r="Y129" s="82" t="e">
        <f>IF(Y$63,38.27,NA())</f>
        <v>#N/A</v>
      </c>
      <c r="Z129" s="82" t="e">
        <f>IF(Z$63,45.5,NA())</f>
        <v>#N/A</v>
      </c>
      <c r="AA129" s="82" t="e">
        <f>IF(AA$63,42.18,NA())</f>
        <v>#N/A</v>
      </c>
      <c r="AB129" s="82">
        <f>IF(AB$63,41.11,NA())</f>
        <v>41.11</v>
      </c>
      <c r="AC129" s="82" t="e">
        <f>IF(AC$63,39.73,NA())</f>
        <v>#N/A</v>
      </c>
      <c r="AD129" s="82" t="e">
        <f>IF(AD$63,37.55,NA())</f>
        <v>#N/A</v>
      </c>
      <c r="AE129" s="82" t="e">
        <f>IF(AE$63,44.86,NA())</f>
        <v>#N/A</v>
      </c>
      <c r="AF129" s="82" t="e">
        <f>IF(AF$63,39.26,NA())</f>
        <v>#N/A</v>
      </c>
      <c r="AG129" s="82" t="e">
        <f>IF(AG$63,41.72,NA())</f>
        <v>#N/A</v>
      </c>
      <c r="AH129" s="82" t="e">
        <f>IF(AH$63,42.71,NA())</f>
        <v>#N/A</v>
      </c>
      <c r="AI129" s="82">
        <f>IF(AI$63,35.41,NA())</f>
        <v>35.409999999999997</v>
      </c>
      <c r="AJ129" s="82" t="e">
        <f>IF(AJ$63,41.51,NA())</f>
        <v>#N/A</v>
      </c>
      <c r="AK129" s="82" t="e">
        <f>IF(AK$63,41.85,NA())</f>
        <v>#N/A</v>
      </c>
      <c r="AL129" s="82">
        <f>IF(AL$63,41.93,NA())</f>
        <v>41.93</v>
      </c>
      <c r="AM129" s="82" t="e">
        <f>IF(AM$63,35.82,NA())</f>
        <v>#N/A</v>
      </c>
      <c r="AN129" s="82" t="e">
        <f>IF(AN$63,40.06,NA())</f>
        <v>#N/A</v>
      </c>
      <c r="AO129" s="82" t="e">
        <f>IF(AO$63,36.48,NA())</f>
        <v>#N/A</v>
      </c>
      <c r="AP129" s="82" t="e">
        <f>IF(AP$63,39.96,NA())</f>
        <v>#N/A</v>
      </c>
      <c r="AQ129" s="82" t="e">
        <f>IF(AQ$63,35.09,NA())</f>
        <v>#N/A</v>
      </c>
      <c r="AR129" s="82" t="e">
        <f>IF(AR$63,34.28,NA())</f>
        <v>#N/A</v>
      </c>
      <c r="AS129" s="82" t="e">
        <f>IF(AS$63,36.9,NA())</f>
        <v>#N/A</v>
      </c>
      <c r="AT129" s="82" t="e">
        <f>IF(AT$63,37.56,NA())</f>
        <v>#N/A</v>
      </c>
      <c r="AU129" s="82">
        <f>IF(AU$63,32.47,NA())</f>
        <v>32.47</v>
      </c>
      <c r="AV129" s="82">
        <f>IF(AV$63,37.88,NA())</f>
        <v>37.880000000000003</v>
      </c>
      <c r="AW129" s="82" t="e">
        <f>IF(AW$63,44.92,NA())</f>
        <v>#N/A</v>
      </c>
      <c r="AX129" s="82" t="e">
        <f>IF(AX$63,49.31,NA())</f>
        <v>#N/A</v>
      </c>
      <c r="AY129" s="82" t="e">
        <f>IF(AY$63,32.6,NA())</f>
        <v>#N/A</v>
      </c>
    </row>
    <row r="130" spans="1:51" x14ac:dyDescent="0.3">
      <c r="A130" s="81" t="s">
        <v>145</v>
      </c>
      <c r="B130" s="82">
        <f>IF(B$63,99.25,NA())</f>
        <v>99.25</v>
      </c>
      <c r="C130" s="82">
        <f>IF(C$63,59.58,NA())</f>
        <v>59.58</v>
      </c>
      <c r="D130" s="82">
        <f>IF(D$63,65.07,NA())</f>
        <v>65.069999999999993</v>
      </c>
      <c r="E130" s="82">
        <f>IF(E$63,63.19,NA())</f>
        <v>63.19</v>
      </c>
      <c r="F130" s="82">
        <f>IF(F$63,57.12,NA())</f>
        <v>57.12</v>
      </c>
      <c r="G130" s="82">
        <f>IF(G$63,58.64,NA())</f>
        <v>58.64</v>
      </c>
      <c r="H130" s="82" t="e">
        <f>IF(H$63,56.67,NA())</f>
        <v>#N/A</v>
      </c>
      <c r="I130" s="82" t="e">
        <f>IF(I$63,50.48,NA())</f>
        <v>#N/A</v>
      </c>
      <c r="J130" s="82" t="e">
        <f>IF(J$63,59.41,NA())</f>
        <v>#N/A</v>
      </c>
      <c r="K130" s="82" t="e">
        <f>IF(K$63,59.56,NA())</f>
        <v>#N/A</v>
      </c>
      <c r="L130" s="82" t="e">
        <f>IF(L$63,49.24,NA())</f>
        <v>#N/A</v>
      </c>
      <c r="M130" s="82" t="e">
        <f>IF(M$63,51.56,NA())</f>
        <v>#N/A</v>
      </c>
      <c r="N130" s="82" t="e">
        <f>IF(N$63,44.57,NA())</f>
        <v>#N/A</v>
      </c>
      <c r="O130" s="82">
        <f>IF(O$63,51.83,NA())</f>
        <v>51.83</v>
      </c>
      <c r="P130" s="82" t="e">
        <f>IF(P$63,49.89,NA())</f>
        <v>#N/A</v>
      </c>
      <c r="Q130" s="82" t="e">
        <f>IF(Q$63,43.27,NA())</f>
        <v>#N/A</v>
      </c>
      <c r="R130" s="82">
        <f>IF(R$63,46.75,NA())</f>
        <v>46.75</v>
      </c>
      <c r="S130" s="82" t="e">
        <f>IF(S$63,47.56,NA())</f>
        <v>#N/A</v>
      </c>
      <c r="T130" s="82" t="e">
        <f>IF(T$63,44.06,NA())</f>
        <v>#N/A</v>
      </c>
      <c r="U130" s="82" t="e">
        <f>IF(U$63,49.45,NA())</f>
        <v>#N/A</v>
      </c>
      <c r="V130" s="82">
        <f>IF(V$63,44.74,NA())</f>
        <v>44.74</v>
      </c>
      <c r="W130" s="82" t="e">
        <f>IF(W$63,50.17,NA())</f>
        <v>#N/A</v>
      </c>
      <c r="X130" s="82" t="e">
        <f>IF(X$63,43.69,NA())</f>
        <v>#N/A</v>
      </c>
      <c r="Y130" s="82" t="e">
        <f>IF(Y$63,38.27,NA())</f>
        <v>#N/A</v>
      </c>
      <c r="Z130" s="82" t="e">
        <f>IF(Z$63,43.35,NA())</f>
        <v>#N/A</v>
      </c>
      <c r="AA130" s="82" t="e">
        <f>IF(AA$63,39.46,NA())</f>
        <v>#N/A</v>
      </c>
      <c r="AB130" s="82">
        <f>IF(AB$63,40.51,NA())</f>
        <v>40.51</v>
      </c>
      <c r="AC130" s="82" t="e">
        <f>IF(AC$63,39.73,NA())</f>
        <v>#N/A</v>
      </c>
      <c r="AD130" s="82" t="e">
        <f>IF(AD$63,35.62,NA())</f>
        <v>#N/A</v>
      </c>
      <c r="AE130" s="82" t="e">
        <f>IF(AE$63,43,NA())</f>
        <v>#N/A</v>
      </c>
      <c r="AF130" s="82" t="e">
        <f>IF(AF$63,37.44,NA())</f>
        <v>#N/A</v>
      </c>
      <c r="AG130" s="82" t="e">
        <f>IF(AG$63,40.98,NA())</f>
        <v>#N/A</v>
      </c>
      <c r="AH130" s="82" t="e">
        <f>IF(AH$63,42.71,NA())</f>
        <v>#N/A</v>
      </c>
      <c r="AI130" s="82">
        <f>IF(AI$63,34.66,NA())</f>
        <v>34.659999999999997</v>
      </c>
      <c r="AJ130" s="82" t="e">
        <f>IF(AJ$63,41.09,NA())</f>
        <v>#N/A</v>
      </c>
      <c r="AK130" s="82" t="e">
        <f>IF(AK$63,39.04,NA())</f>
        <v>#N/A</v>
      </c>
      <c r="AL130" s="82">
        <f>IF(AL$63,42.26,NA())</f>
        <v>42.26</v>
      </c>
      <c r="AM130" s="82" t="e">
        <f>IF(AM$63,39.96,NA())</f>
        <v>#N/A</v>
      </c>
      <c r="AN130" s="82" t="e">
        <f>IF(AN$63,39.05,NA())</f>
        <v>#N/A</v>
      </c>
      <c r="AO130" s="82" t="e">
        <f>IF(AO$63,35.83,NA())</f>
        <v>#N/A</v>
      </c>
      <c r="AP130" s="82" t="e">
        <f>IF(AP$63,39.44,NA())</f>
        <v>#N/A</v>
      </c>
      <c r="AQ130" s="82" t="e">
        <f>IF(AQ$63,34.69,NA())</f>
        <v>#N/A</v>
      </c>
      <c r="AR130" s="82" t="e">
        <f>IF(AR$63,34.84,NA())</f>
        <v>#N/A</v>
      </c>
      <c r="AS130" s="82" t="e">
        <f>IF(AS$63,36.56,NA())</f>
        <v>#N/A</v>
      </c>
      <c r="AT130" s="82" t="e">
        <f>IF(AT$63,36.35,NA())</f>
        <v>#N/A</v>
      </c>
      <c r="AU130" s="82">
        <f>IF(AU$63,33.42,NA())</f>
        <v>33.42</v>
      </c>
      <c r="AV130" s="82">
        <f>IF(AV$63,36.18,NA())</f>
        <v>36.18</v>
      </c>
      <c r="AW130" s="82" t="e">
        <f>IF(AW$63,43.92,NA())</f>
        <v>#N/A</v>
      </c>
      <c r="AX130" s="82" t="e">
        <f>IF(AX$63,43.36,NA())</f>
        <v>#N/A</v>
      </c>
      <c r="AY130" s="82" t="e">
        <f>IF(AY$63,32,NA())</f>
        <v>#N/A</v>
      </c>
    </row>
    <row r="131" spans="1:51" x14ac:dyDescent="0.3">
      <c r="A131" s="81" t="s">
        <v>146</v>
      </c>
      <c r="B131" s="82">
        <f>IF(B$63,93.27,NA())</f>
        <v>93.27</v>
      </c>
      <c r="C131" s="82">
        <f>IF(C$63,63.39,NA())</f>
        <v>63.39</v>
      </c>
      <c r="D131" s="82">
        <f>IF(D$63,67.22,NA())</f>
        <v>67.22</v>
      </c>
      <c r="E131" s="82">
        <f>IF(E$63,62.85,NA())</f>
        <v>62.85</v>
      </c>
      <c r="F131" s="82">
        <f>IF(F$63,60.96,NA())</f>
        <v>60.96</v>
      </c>
      <c r="G131" s="82">
        <f>IF(G$63,57.56,NA())</f>
        <v>57.56</v>
      </c>
      <c r="H131" s="82" t="e">
        <f>IF(H$63,56.07,NA())</f>
        <v>#N/A</v>
      </c>
      <c r="I131" s="82" t="e">
        <f>IF(I$63,49.42,NA())</f>
        <v>#N/A</v>
      </c>
      <c r="J131" s="82" t="e">
        <f>IF(J$63,58.9,NA())</f>
        <v>#N/A</v>
      </c>
      <c r="K131" s="82" t="e">
        <f>IF(K$63,58.8,NA())</f>
        <v>#N/A</v>
      </c>
      <c r="L131" s="82" t="e">
        <f>IF(L$63,49.79,NA())</f>
        <v>#N/A</v>
      </c>
      <c r="M131" s="82" t="e">
        <f>IF(M$63,49.08,NA())</f>
        <v>#N/A</v>
      </c>
      <c r="N131" s="82" t="e">
        <f>IF(N$63,41.55,NA())</f>
        <v>#N/A</v>
      </c>
      <c r="O131" s="82">
        <f>IF(O$63,50.29,NA())</f>
        <v>50.29</v>
      </c>
      <c r="P131" s="82" t="e">
        <f>IF(P$63,49.89,NA())</f>
        <v>#N/A</v>
      </c>
      <c r="Q131" s="82" t="e">
        <f>IF(Q$63,44.21,NA())</f>
        <v>#N/A</v>
      </c>
      <c r="R131" s="82">
        <f>IF(R$63,46.43,NA())</f>
        <v>46.43</v>
      </c>
      <c r="S131" s="82" t="e">
        <f>IF(S$63,48.15,NA())</f>
        <v>#N/A</v>
      </c>
      <c r="T131" s="82" t="e">
        <f>IF(T$63,43.77,NA())</f>
        <v>#N/A</v>
      </c>
      <c r="U131" s="82" t="e">
        <f>IF(U$63,47.73,NA())</f>
        <v>#N/A</v>
      </c>
      <c r="V131" s="82">
        <f>IF(V$63,45.62,NA())</f>
        <v>45.62</v>
      </c>
      <c r="W131" s="82" t="e">
        <f>IF(W$63,48.25,NA())</f>
        <v>#N/A</v>
      </c>
      <c r="X131" s="82" t="e">
        <f>IF(X$63,42.9,NA())</f>
        <v>#N/A</v>
      </c>
      <c r="Y131" s="82" t="e">
        <f>IF(Y$63,38.85,NA())</f>
        <v>#N/A</v>
      </c>
      <c r="Z131" s="82" t="e">
        <f>IF(Z$63,43.35,NA())</f>
        <v>#N/A</v>
      </c>
      <c r="AA131" s="82" t="e">
        <f>IF(AA$63,42.18,NA())</f>
        <v>#N/A</v>
      </c>
      <c r="AB131" s="82">
        <f>IF(AB$63,40.17,NA())</f>
        <v>40.17</v>
      </c>
      <c r="AC131" s="82" t="e">
        <f>IF(AC$63,39.53,NA())</f>
        <v>#N/A</v>
      </c>
      <c r="AD131" s="82" t="e">
        <f>IF(AD$63,36.59,NA())</f>
        <v>#N/A</v>
      </c>
      <c r="AE131" s="82" t="e">
        <f>IF(AE$63,42.29,NA())</f>
        <v>#N/A</v>
      </c>
      <c r="AF131" s="82" t="e">
        <f>IF(AF$63,38.35,NA())</f>
        <v>#N/A</v>
      </c>
      <c r="AG131" s="82" t="e">
        <f>IF(AG$63,40.23,NA())</f>
        <v>#N/A</v>
      </c>
      <c r="AH131" s="82" t="e">
        <f>IF(AH$63,43.74,NA())</f>
        <v>#N/A</v>
      </c>
      <c r="AI131" s="82">
        <f>IF(AI$63,40.68,NA())</f>
        <v>40.68</v>
      </c>
      <c r="AJ131" s="82" t="e">
        <f>IF(AJ$63,40.23,NA())</f>
        <v>#N/A</v>
      </c>
      <c r="AK131" s="82" t="e">
        <f>IF(AK$63,38.17,NA())</f>
        <v>#N/A</v>
      </c>
      <c r="AL131" s="82">
        <f>IF(AL$63,39.62,NA())</f>
        <v>39.619999999999997</v>
      </c>
      <c r="AM131" s="82" t="e">
        <f>IF(AM$63,42.02,NA())</f>
        <v>#N/A</v>
      </c>
      <c r="AN131" s="82" t="e">
        <f>IF(AN$63,38.42,NA())</f>
        <v>#N/A</v>
      </c>
      <c r="AO131" s="82" t="e">
        <f>IF(AO$63,36.29,NA())</f>
        <v>#N/A</v>
      </c>
      <c r="AP131" s="82" t="e">
        <f>IF(AP$63,37.37,NA())</f>
        <v>#N/A</v>
      </c>
      <c r="AQ131" s="82" t="e">
        <f>IF(AQ$63,32.92,NA())</f>
        <v>#N/A</v>
      </c>
      <c r="AR131" s="82" t="e">
        <f>IF(AR$63,36.53,NA())</f>
        <v>#N/A</v>
      </c>
      <c r="AS131" s="82" t="e">
        <f>IF(AS$63,34.52,NA())</f>
        <v>#N/A</v>
      </c>
      <c r="AT131" s="82" t="e">
        <f>IF(AT$63,36.9,NA())</f>
        <v>#N/A</v>
      </c>
      <c r="AU131" s="82">
        <f>IF(AU$63,32.47,NA())</f>
        <v>32.47</v>
      </c>
      <c r="AV131" s="82">
        <f>IF(AV$63,35.75,NA())</f>
        <v>35.75</v>
      </c>
      <c r="AW131" s="82" t="e">
        <f>IF(AW$63,36.93,NA())</f>
        <v>#N/A</v>
      </c>
      <c r="AX131" s="82" t="e">
        <f>IF(AX$63,40.81,NA())</f>
        <v>#N/A</v>
      </c>
      <c r="AY131" s="82" t="e">
        <f>IF(AY$63,31.39,NA())</f>
        <v>#N/A</v>
      </c>
    </row>
    <row r="132" spans="1:51" x14ac:dyDescent="0.3">
      <c r="A132" s="81" t="s">
        <v>147</v>
      </c>
      <c r="B132" s="82">
        <f>IF(B$63,89.75,NA())</f>
        <v>89.75</v>
      </c>
      <c r="C132" s="82">
        <f>IF(C$63,67.19,NA())</f>
        <v>67.19</v>
      </c>
      <c r="D132" s="82">
        <f>IF(D$63,66.5,NA())</f>
        <v>66.5</v>
      </c>
      <c r="E132" s="82">
        <f>IF(E$63,61.12,NA())</f>
        <v>61.12</v>
      </c>
      <c r="F132" s="82">
        <f>IF(F$63,59.52,NA())</f>
        <v>59.52</v>
      </c>
      <c r="G132" s="82">
        <f>IF(G$63,58.28,NA())</f>
        <v>58.28</v>
      </c>
      <c r="H132" s="82" t="e">
        <f>IF(H$63,56.8,NA())</f>
        <v>#N/A</v>
      </c>
      <c r="I132" s="82" t="e">
        <f>IF(I$63,51.94,NA())</f>
        <v>#N/A</v>
      </c>
      <c r="J132" s="82" t="e">
        <f>IF(J$63,56.55,NA())</f>
        <v>#N/A</v>
      </c>
      <c r="K132" s="82" t="e">
        <f>IF(K$63,59.56,NA())</f>
        <v>#N/A</v>
      </c>
      <c r="L132" s="82" t="e">
        <f>IF(L$63,48.42,NA())</f>
        <v>#N/A</v>
      </c>
      <c r="M132" s="82" t="e">
        <f>IF(M$63,47.42,NA())</f>
        <v>#N/A</v>
      </c>
      <c r="N132" s="82" t="e">
        <f>IF(N$63,44.57,NA())</f>
        <v>#N/A</v>
      </c>
      <c r="O132" s="82">
        <f>IF(O$63,49.13,NA())</f>
        <v>49.13</v>
      </c>
      <c r="P132" s="82" t="e">
        <f>IF(P$63,48.57,NA())</f>
        <v>#N/A</v>
      </c>
      <c r="Q132" s="82" t="e">
        <f>IF(Q$63,46.09,NA())</f>
        <v>#N/A</v>
      </c>
      <c r="R132" s="82">
        <f>IF(R$63,45.05,NA())</f>
        <v>45.05</v>
      </c>
      <c r="S132" s="82" t="e">
        <f>IF(S$63,47.36,NA())</f>
        <v>#N/A</v>
      </c>
      <c r="T132" s="82" t="e">
        <f>IF(T$63,44.06,NA())</f>
        <v>#N/A</v>
      </c>
      <c r="U132" s="82" t="e">
        <f>IF(U$63,48.88,NA())</f>
        <v>#N/A</v>
      </c>
      <c r="V132" s="82">
        <f>IF(V$63,44.74,NA())</f>
        <v>44.74</v>
      </c>
      <c r="W132" s="82" t="e">
        <f>IF(W$63,46.88,NA())</f>
        <v>#N/A</v>
      </c>
      <c r="X132" s="82" t="e">
        <f>IF(X$63,43.33,NA())</f>
        <v>#N/A</v>
      </c>
      <c r="Y132" s="82" t="e">
        <f>IF(Y$63,40.62,NA())</f>
        <v>#N/A</v>
      </c>
      <c r="Z132" s="82" t="e">
        <f>IF(Z$63,40.49,NA())</f>
        <v>#N/A</v>
      </c>
      <c r="AA132" s="82" t="e">
        <f>IF(AA$63,41.5,NA())</f>
        <v>#N/A</v>
      </c>
      <c r="AB132" s="82">
        <f>IF(AB$63,39.91,NA())</f>
        <v>39.909999999999997</v>
      </c>
      <c r="AC132" s="82" t="e">
        <f>IF(AC$63,39.12,NA())</f>
        <v>#N/A</v>
      </c>
      <c r="AD132" s="82" t="e">
        <f>IF(AD$63,35.62,NA())</f>
        <v>#N/A</v>
      </c>
      <c r="AE132" s="82" t="e">
        <f>IF(AE$63,40.44,NA())</f>
        <v>#N/A</v>
      </c>
      <c r="AF132" s="82" t="e">
        <f>IF(AF$63,35.61,NA())</f>
        <v>#N/A</v>
      </c>
      <c r="AG132" s="82" t="e">
        <f>IF(AG$63,40.23,NA())</f>
        <v>#N/A</v>
      </c>
      <c r="AH132" s="82" t="e">
        <f>IF(AH$63,42.19,NA())</f>
        <v>#N/A</v>
      </c>
      <c r="AI132" s="82">
        <f>IF(AI$63,37.67,NA())</f>
        <v>37.67</v>
      </c>
      <c r="AJ132" s="82" t="e">
        <f>IF(AJ$63,38.95,NA())</f>
        <v>#N/A</v>
      </c>
      <c r="AK132" s="82" t="e">
        <f>IF(AK$63,38.17,NA())</f>
        <v>#N/A</v>
      </c>
      <c r="AL132" s="82">
        <f>IF(AL$63,38.29,NA())</f>
        <v>38.29</v>
      </c>
      <c r="AM132" s="82" t="e">
        <f>IF(AM$63,39.96,NA())</f>
        <v>#N/A</v>
      </c>
      <c r="AN132" s="82" t="e">
        <f>IF(AN$63,37.41,NA())</f>
        <v>#N/A</v>
      </c>
      <c r="AO132" s="82" t="e">
        <f>IF(AO$63,35.27,NA())</f>
        <v>#N/A</v>
      </c>
      <c r="AP132" s="82" t="e">
        <f>IF(AP$63,37.88,NA())</f>
        <v>#N/A</v>
      </c>
      <c r="AQ132" s="82" t="e">
        <f>IF(AQ$63,33.91,NA())</f>
        <v>#N/A</v>
      </c>
      <c r="AR132" s="82" t="e">
        <f>IF(AR$63,37.65,NA())</f>
        <v>#N/A</v>
      </c>
      <c r="AS132" s="82" t="e">
        <f>IF(AS$63,34.52,NA())</f>
        <v>#N/A</v>
      </c>
      <c r="AT132" s="82" t="e">
        <f>IF(AT$63,36.68,NA())</f>
        <v>#N/A</v>
      </c>
      <c r="AU132" s="82">
        <f>IF(AU$63,37.24,NA())</f>
        <v>37.24</v>
      </c>
      <c r="AV132" s="82">
        <f>IF(AV$63,35.33,NA())</f>
        <v>35.33</v>
      </c>
      <c r="AW132" s="82" t="e">
        <f>IF(AW$63,36.93,NA())</f>
        <v>#N/A</v>
      </c>
      <c r="AX132" s="82" t="e">
        <f>IF(AX$63,39.11,NA())</f>
        <v>#N/A</v>
      </c>
      <c r="AY132" s="82" t="e">
        <f>IF(AY$63,32.3,NA())</f>
        <v>#N/A</v>
      </c>
    </row>
    <row r="133" spans="1:51" x14ac:dyDescent="0.3">
      <c r="A133" s="81" t="s">
        <v>148</v>
      </c>
      <c r="B133" s="82">
        <f>IF(B$63,88.16,NA())</f>
        <v>88.16</v>
      </c>
      <c r="C133" s="82">
        <f>IF(C$63,62.12,NA())</f>
        <v>62.12</v>
      </c>
      <c r="D133" s="82">
        <f>IF(D$63,66.14,NA())</f>
        <v>66.14</v>
      </c>
      <c r="E133" s="82">
        <f>IF(E$63,60.08,NA())</f>
        <v>60.08</v>
      </c>
      <c r="F133" s="82">
        <f>IF(F$63,59.52,NA())</f>
        <v>59.52</v>
      </c>
      <c r="G133" s="82">
        <f>IF(G$63,59.54,NA())</f>
        <v>59.54</v>
      </c>
      <c r="H133" s="82" t="e">
        <f>IF(H$63,56.43,NA())</f>
        <v>#N/A</v>
      </c>
      <c r="I133" s="82" t="e">
        <f>IF(I$63,53.67,NA())</f>
        <v>#N/A</v>
      </c>
      <c r="J133" s="82" t="e">
        <f>IF(J$63,55.85,NA())</f>
        <v>#N/A</v>
      </c>
      <c r="K133" s="82" t="e">
        <f>IF(K$63,56.54,NA())</f>
        <v>#N/A</v>
      </c>
      <c r="L133" s="82" t="e">
        <f>IF(L$63,49.52,NA())</f>
        <v>#N/A</v>
      </c>
      <c r="M133" s="82" t="e">
        <f>IF(M$63,48.52,NA())</f>
        <v>#N/A</v>
      </c>
      <c r="N133" s="82" t="e">
        <f>IF(N$63,46.08,NA())</f>
        <v>#N/A</v>
      </c>
      <c r="O133" s="82">
        <f>IF(O$63,49.13,NA())</f>
        <v>49.13</v>
      </c>
      <c r="P133" s="82" t="e">
        <f>IF(P$63,48.13,NA())</f>
        <v>#N/A</v>
      </c>
      <c r="Q133" s="82" t="e">
        <f>IF(Q$63,47.03,NA())</f>
        <v>#N/A</v>
      </c>
      <c r="R133" s="82">
        <f>IF(R$63,46.22,NA())</f>
        <v>46.22</v>
      </c>
      <c r="S133" s="82" t="e">
        <f>IF(S$63,46.97,NA())</f>
        <v>#N/A</v>
      </c>
      <c r="T133" s="82" t="e">
        <f>IF(T$63,44.81,NA())</f>
        <v>#N/A</v>
      </c>
      <c r="U133" s="82" t="e">
        <f>IF(U$63,47.15,NA())</f>
        <v>#N/A</v>
      </c>
      <c r="V133" s="82">
        <f>IF(V$63,44.74,NA())</f>
        <v>44.74</v>
      </c>
      <c r="W133" s="82" t="e">
        <f>IF(W$63,44.14,NA())</f>
        <v>#N/A</v>
      </c>
      <c r="X133" s="82" t="e">
        <f>IF(X$63,42.39,NA())</f>
        <v>#N/A</v>
      </c>
      <c r="Y133" s="82" t="e">
        <f>IF(Y$63,41.8,NA())</f>
        <v>#N/A</v>
      </c>
      <c r="Z133" s="82" t="e">
        <f>IF(Z$63,39.05,NA())</f>
        <v>#N/A</v>
      </c>
      <c r="AA133" s="82" t="e">
        <f>IF(AA$63,40.82,NA())</f>
        <v>#N/A</v>
      </c>
      <c r="AB133" s="82">
        <f>IF(AB$63,39.61,NA())</f>
        <v>39.61</v>
      </c>
      <c r="AC133" s="82" t="e">
        <f>IF(AC$63,38.71,NA())</f>
        <v>#N/A</v>
      </c>
      <c r="AD133" s="82" t="e">
        <f>IF(AD$63,37.55,NA())</f>
        <v>#N/A</v>
      </c>
      <c r="AE133" s="82" t="e">
        <f>IF(AE$63,39.59,NA())</f>
        <v>#N/A</v>
      </c>
      <c r="AF133" s="82" t="e">
        <f>IF(AF$63,37.44,NA())</f>
        <v>#N/A</v>
      </c>
      <c r="AG133" s="82" t="e">
        <f>IF(AG$63,38.74,NA())</f>
        <v>#N/A</v>
      </c>
      <c r="AH133" s="82" t="e">
        <f>IF(AH$63,37.56,NA())</f>
        <v>#N/A</v>
      </c>
      <c r="AI133" s="82">
        <f>IF(AI$63,37.67,NA())</f>
        <v>37.67</v>
      </c>
      <c r="AJ133" s="82" t="e">
        <f>IF(AJ$63,38.09,NA())</f>
        <v>#N/A</v>
      </c>
      <c r="AK133" s="82" t="e">
        <f>IF(AK$63,38.06,NA())</f>
        <v>#N/A</v>
      </c>
      <c r="AL133" s="82">
        <f>IF(AL$63,38.29,NA())</f>
        <v>38.29</v>
      </c>
      <c r="AM133" s="82" t="e">
        <f>IF(AM$63,37.2,NA())</f>
        <v>#N/A</v>
      </c>
      <c r="AN133" s="82" t="e">
        <f>IF(AN$63,37.16,NA())</f>
        <v>#N/A</v>
      </c>
      <c r="AO133" s="82" t="e">
        <f>IF(AO$63,35.27,NA())</f>
        <v>#N/A</v>
      </c>
      <c r="AP133" s="82" t="e">
        <f>IF(AP$63,36.33,NA())</f>
        <v>#N/A</v>
      </c>
      <c r="AQ133" s="82" t="e">
        <f>IF(AQ$63,35.48,NA())</f>
        <v>#N/A</v>
      </c>
      <c r="AR133" s="82" t="e">
        <f>IF(AR$63,35.4,NA())</f>
        <v>#N/A</v>
      </c>
      <c r="AS133" s="82" t="e">
        <f>IF(AS$63,34.52,NA())</f>
        <v>#N/A</v>
      </c>
      <c r="AT133" s="82" t="e">
        <f>IF(AT$63,35.58,NA())</f>
        <v>#N/A</v>
      </c>
      <c r="AU133" s="82">
        <f>IF(AU$63,38.2,NA())</f>
        <v>38.200000000000003</v>
      </c>
      <c r="AV133" s="82">
        <f>IF(AV$63,35.75,NA())</f>
        <v>35.75</v>
      </c>
      <c r="AW133" s="82" t="e">
        <f>IF(AW$63,33.94,NA())</f>
        <v>#N/A</v>
      </c>
      <c r="AX133" s="82" t="e">
        <f>IF(AX$63,37.41,NA())</f>
        <v>#N/A</v>
      </c>
      <c r="AY133" s="82" t="e">
        <f>IF(AY$63,33.51,NA())</f>
        <v>#N/A</v>
      </c>
    </row>
    <row r="134" spans="1:51" x14ac:dyDescent="0.3">
      <c r="A134" s="81" t="s">
        <v>149</v>
      </c>
      <c r="B134" s="82">
        <f>IF(B$63,87.63,NA())</f>
        <v>87.63</v>
      </c>
      <c r="C134" s="82">
        <f>IF(C$63,65.92,NA())</f>
        <v>65.92</v>
      </c>
      <c r="D134" s="82">
        <f>IF(D$63,64.36,NA())</f>
        <v>64.36</v>
      </c>
      <c r="E134" s="82">
        <f>IF(E$63,63.54,NA())</f>
        <v>63.54</v>
      </c>
      <c r="F134" s="82">
        <f>IF(F$63,60.96,NA())</f>
        <v>60.96</v>
      </c>
      <c r="G134" s="82">
        <f>IF(G$63,57.92,NA())</f>
        <v>57.92</v>
      </c>
      <c r="H134" s="82" t="e">
        <f>IF(H$63,57.16,NA())</f>
        <v>#N/A</v>
      </c>
      <c r="I134" s="82" t="e">
        <f>IF(I$63,55.4,NA())</f>
        <v>#N/A</v>
      </c>
      <c r="J134" s="82" t="e">
        <f>IF(J$63,55.28,NA())</f>
        <v>#N/A</v>
      </c>
      <c r="K134" s="82" t="e">
        <f>IF(K$63,53.15,NA())</f>
        <v>#N/A</v>
      </c>
      <c r="L134" s="82" t="e">
        <f>IF(L$63,50.75,NA())</f>
        <v>#N/A</v>
      </c>
      <c r="M134" s="82" t="e">
        <f>IF(M$63,48.52,NA())</f>
        <v>#N/A</v>
      </c>
      <c r="N134" s="82" t="e">
        <f>IF(N$63,47.59,NA())</f>
        <v>#N/A</v>
      </c>
      <c r="O134" s="82">
        <f>IF(O$63,47.58,NA())</f>
        <v>47.58</v>
      </c>
      <c r="P134" s="82" t="e">
        <f>IF(P$63,47.24,NA())</f>
        <v>#N/A</v>
      </c>
      <c r="Q134" s="82" t="e">
        <f>IF(Q$63,47.03,NA())</f>
        <v>#N/A</v>
      </c>
      <c r="R134" s="82">
        <f>IF(R$63,46.22,NA())</f>
        <v>46.22</v>
      </c>
      <c r="S134" s="82" t="e">
        <f>IF(S$63,45.98,NA())</f>
        <v>#N/A</v>
      </c>
      <c r="T134" s="82" t="e">
        <f>IF(T$63,45.85,NA())</f>
        <v>#N/A</v>
      </c>
      <c r="U134" s="82" t="e">
        <f>IF(U$63,44.85,NA())</f>
        <v>#N/A</v>
      </c>
      <c r="V134" s="82">
        <f>IF(V$63,42.99,NA())</f>
        <v>42.99</v>
      </c>
      <c r="W134" s="82" t="e">
        <f>IF(W$63,42.22,NA())</f>
        <v>#N/A</v>
      </c>
      <c r="X134" s="82" t="e">
        <f>IF(X$63,42.03,NA())</f>
        <v>#N/A</v>
      </c>
      <c r="Y134" s="82" t="e">
        <f>IF(Y$63,41.21,NA())</f>
        <v>#N/A</v>
      </c>
      <c r="Z134" s="82" t="e">
        <f>IF(Z$63,39.77,NA())</f>
        <v>#N/A</v>
      </c>
      <c r="AA134" s="82" t="e">
        <f>IF(AA$63,39.46,NA())</f>
        <v>#N/A</v>
      </c>
      <c r="AB134" s="82">
        <f>IF(AB$63,39.36,NA())</f>
        <v>39.36</v>
      </c>
      <c r="AC134" s="82" t="e">
        <f>IF(AC$63,39.22,NA())</f>
        <v>#N/A</v>
      </c>
      <c r="AD134" s="82" t="e">
        <f>IF(AD$63,38.51,NA())</f>
        <v>#N/A</v>
      </c>
      <c r="AE134" s="82" t="e">
        <f>IF(AE$63,38.45,NA())</f>
        <v>#N/A</v>
      </c>
      <c r="AF134" s="82" t="e">
        <f>IF(AF$63,38.35,NA())</f>
        <v>#N/A</v>
      </c>
      <c r="AG134" s="82" t="e">
        <f>IF(AG$63,38,NA())</f>
        <v>#N/A</v>
      </c>
      <c r="AH134" s="82" t="e">
        <f>IF(AH$63,37.56,NA())</f>
        <v>#N/A</v>
      </c>
      <c r="AI134" s="82">
        <f>IF(AI$63,36.92,NA())</f>
        <v>36.92</v>
      </c>
      <c r="AJ134" s="82" t="e">
        <f>IF(AJ$63,36.81,NA())</f>
        <v>#N/A</v>
      </c>
      <c r="AK134" s="82" t="e">
        <f>IF(AK$63,36.77,NA())</f>
        <v>#N/A</v>
      </c>
      <c r="AL134" s="82">
        <f>IF(AL$63,36.64,NA())</f>
        <v>36.64</v>
      </c>
      <c r="AM134" s="82" t="e">
        <f>IF(AM$63,36.51,NA())</f>
        <v>#N/A</v>
      </c>
      <c r="AN134" s="82" t="e">
        <f>IF(AN$63,36.03,NA())</f>
        <v>#N/A</v>
      </c>
      <c r="AO134" s="82" t="e">
        <f>IF(AO$63,36.01,NA())</f>
        <v>#N/A</v>
      </c>
      <c r="AP134" s="82" t="e">
        <f>IF(AP$63,35.81,NA())</f>
        <v>#N/A</v>
      </c>
      <c r="AQ134" s="82" t="e">
        <f>IF(AQ$63,35.48,NA())</f>
        <v>#N/A</v>
      </c>
      <c r="AR134" s="82" t="e">
        <f>IF(AR$63,35.4,NA())</f>
        <v>#N/A</v>
      </c>
      <c r="AS134" s="82" t="e">
        <f>IF(AS$63,35.37,NA())</f>
        <v>#N/A</v>
      </c>
      <c r="AT134" s="82" t="e">
        <f>IF(AT$63,35.36,NA())</f>
        <v>#N/A</v>
      </c>
      <c r="AU134" s="82">
        <f>IF(AU$63,35.33,NA())</f>
        <v>35.33</v>
      </c>
      <c r="AV134" s="82">
        <f>IF(AV$63,35.33,NA())</f>
        <v>35.33</v>
      </c>
      <c r="AW134" s="82" t="e">
        <f>IF(AW$63,34.94,NA())</f>
        <v>#N/A</v>
      </c>
      <c r="AX134" s="82" t="e">
        <f>IF(AX$63,34.86,NA())</f>
        <v>#N/A</v>
      </c>
      <c r="AY134" s="82" t="e">
        <f>IF(AY$63,34.41,NA())</f>
        <v>#N/A</v>
      </c>
    </row>
    <row r="135" spans="1:51" x14ac:dyDescent="0.3">
      <c r="A135" s="81" t="s">
        <v>150</v>
      </c>
      <c r="B135" s="82" t="e">
        <f>NA()</f>
        <v>#N/A</v>
      </c>
      <c r="C135" s="82" t="e">
        <f>NA()</f>
        <v>#N/A</v>
      </c>
      <c r="D135" s="82" t="e">
        <f>NA()</f>
        <v>#N/A</v>
      </c>
      <c r="E135" s="82" t="e">
        <f>NA()</f>
        <v>#N/A</v>
      </c>
      <c r="F135" s="82" t="e">
        <f>NA()</f>
        <v>#N/A</v>
      </c>
      <c r="G135" s="82">
        <f>IF(G$63,61.88,NA())</f>
        <v>61.88</v>
      </c>
      <c r="H135" s="82" t="e">
        <f>NA()</f>
        <v>#N/A</v>
      </c>
      <c r="I135" s="82" t="e">
        <f>NA()</f>
        <v>#N/A</v>
      </c>
      <c r="J135" s="82" t="e">
        <f>NA()</f>
        <v>#N/A</v>
      </c>
      <c r="K135" s="82" t="e">
        <f>NA()</f>
        <v>#N/A</v>
      </c>
      <c r="L135" s="82" t="e">
        <f>NA()</f>
        <v>#N/A</v>
      </c>
      <c r="M135" s="82" t="e">
        <f>NA()</f>
        <v>#N/A</v>
      </c>
      <c r="N135" s="82" t="e">
        <f>NA()</f>
        <v>#N/A</v>
      </c>
      <c r="O135" s="82" t="e">
        <f>NA()</f>
        <v>#N/A</v>
      </c>
      <c r="P135" s="82" t="e">
        <f>NA()</f>
        <v>#N/A</v>
      </c>
      <c r="Q135" s="82" t="e">
        <f>NA()</f>
        <v>#N/A</v>
      </c>
      <c r="R135" s="82" t="e">
        <f>NA()</f>
        <v>#N/A</v>
      </c>
      <c r="S135" s="82" t="e">
        <f>NA()</f>
        <v>#N/A</v>
      </c>
      <c r="T135" s="82" t="e">
        <f>NA()</f>
        <v>#N/A</v>
      </c>
      <c r="U135" s="82" t="e">
        <f>NA()</f>
        <v>#N/A</v>
      </c>
      <c r="V135" s="82" t="e">
        <f>NA()</f>
        <v>#N/A</v>
      </c>
      <c r="W135" s="82" t="e">
        <f>NA()</f>
        <v>#N/A</v>
      </c>
      <c r="X135" s="82" t="e">
        <f>NA()</f>
        <v>#N/A</v>
      </c>
      <c r="Y135" s="82" t="e">
        <f>NA()</f>
        <v>#N/A</v>
      </c>
      <c r="Z135" s="82" t="e">
        <f>NA()</f>
        <v>#N/A</v>
      </c>
      <c r="AA135" s="82" t="e">
        <f>NA()</f>
        <v>#N/A</v>
      </c>
      <c r="AB135" s="82" t="e">
        <f>NA()</f>
        <v>#N/A</v>
      </c>
      <c r="AC135" s="82" t="e">
        <f>NA()</f>
        <v>#N/A</v>
      </c>
      <c r="AD135" s="82" t="e">
        <f>NA()</f>
        <v>#N/A</v>
      </c>
      <c r="AE135" s="82" t="e">
        <f>NA()</f>
        <v>#N/A</v>
      </c>
      <c r="AF135" s="82" t="e">
        <f>NA()</f>
        <v>#N/A</v>
      </c>
      <c r="AG135" s="82" t="e">
        <f>NA()</f>
        <v>#N/A</v>
      </c>
      <c r="AH135" s="82" t="e">
        <f>NA()</f>
        <v>#N/A</v>
      </c>
      <c r="AI135" s="82" t="e">
        <f>NA()</f>
        <v>#N/A</v>
      </c>
      <c r="AJ135" s="82" t="e">
        <f>NA()</f>
        <v>#N/A</v>
      </c>
      <c r="AK135" s="82" t="e">
        <f>NA()</f>
        <v>#N/A</v>
      </c>
      <c r="AL135" s="82" t="e">
        <f>NA()</f>
        <v>#N/A</v>
      </c>
      <c r="AM135" s="82" t="e">
        <f>NA()</f>
        <v>#N/A</v>
      </c>
      <c r="AN135" s="82" t="e">
        <f>NA()</f>
        <v>#N/A</v>
      </c>
      <c r="AO135" s="82" t="e">
        <f>NA()</f>
        <v>#N/A</v>
      </c>
      <c r="AP135" s="82" t="e">
        <f>NA()</f>
        <v>#N/A</v>
      </c>
      <c r="AQ135" s="82" t="e">
        <f>NA()</f>
        <v>#N/A</v>
      </c>
      <c r="AR135" s="82" t="e">
        <f>NA()</f>
        <v>#N/A</v>
      </c>
      <c r="AS135" s="82" t="e">
        <f>NA()</f>
        <v>#N/A</v>
      </c>
      <c r="AT135" s="82" t="e">
        <f>NA()</f>
        <v>#N/A</v>
      </c>
      <c r="AU135" s="82" t="e">
        <f>NA()</f>
        <v>#N/A</v>
      </c>
      <c r="AV135" s="82" t="e">
        <f>NA()</f>
        <v>#N/A</v>
      </c>
      <c r="AW135" s="82" t="e">
        <f>NA()</f>
        <v>#N/A</v>
      </c>
      <c r="AX135" s="82" t="e">
        <f>NA()</f>
        <v>#N/A</v>
      </c>
      <c r="AY135" s="82" t="e">
        <f>NA()</f>
        <v>#N/A</v>
      </c>
    </row>
  </sheetData>
  <dataValidations count="1">
    <dataValidation type="list" allowBlank="1" sqref="B63:AY63" xr:uid="{00000000-0002-0000-0300-000000000000}">
      <formula1>"TRUE,FALSE"</formula1>
    </dataValidation>
  </dataValidation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2"/>
  <sheetViews>
    <sheetView showGridLines="0" topLeftCell="E1" workbookViewId="0">
      <pane ySplit="5" topLeftCell="A8" activePane="bottomLeft" state="frozen"/>
      <selection pane="bottomLeft" activeCell="K11" sqref="K11"/>
    </sheetView>
  </sheetViews>
  <sheetFormatPr defaultRowHeight="14.4" x14ac:dyDescent="0.3"/>
  <cols>
    <col min="1" max="1" width="6" customWidth="1"/>
    <col min="2" max="2" width="24" customWidth="1"/>
    <col min="3" max="3" width="18" customWidth="1"/>
    <col min="4" max="4" width="12" customWidth="1"/>
    <col min="5" max="5" width="14" customWidth="1"/>
    <col min="6" max="6" width="12" customWidth="1"/>
    <col min="7" max="7" width="38" customWidth="1"/>
    <col min="8" max="8" width="28" customWidth="1"/>
    <col min="9" max="9" width="12" customWidth="1"/>
    <col min="10" max="10" width="14" customWidth="1"/>
    <col min="11" max="11" width="60" customWidth="1"/>
  </cols>
  <sheetData>
    <row r="1" spans="1:11" ht="17.399999999999999" customHeight="1" x14ac:dyDescent="0.3">
      <c r="A1" s="1" t="s">
        <v>292</v>
      </c>
    </row>
    <row r="2" spans="1:11" x14ac:dyDescent="0.3">
      <c r="A2" s="2" t="s">
        <v>293</v>
      </c>
    </row>
    <row r="3" spans="1:11" x14ac:dyDescent="0.3">
      <c r="A3" s="2" t="s">
        <v>294</v>
      </c>
    </row>
    <row r="5" spans="1:11" ht="37.950000000000003" customHeight="1" x14ac:dyDescent="0.3">
      <c r="A5" s="6" t="s">
        <v>3</v>
      </c>
      <c r="B5" s="6" t="s">
        <v>4</v>
      </c>
      <c r="C5" s="6" t="s">
        <v>5</v>
      </c>
      <c r="D5" s="6" t="s">
        <v>295</v>
      </c>
      <c r="E5" s="6" t="s">
        <v>296</v>
      </c>
      <c r="F5" s="6" t="s">
        <v>297</v>
      </c>
      <c r="G5" s="6" t="s">
        <v>298</v>
      </c>
      <c r="H5" s="6" t="s">
        <v>299</v>
      </c>
      <c r="I5" s="6" t="s">
        <v>300</v>
      </c>
      <c r="J5" s="6" t="s">
        <v>301</v>
      </c>
      <c r="K5" s="6" t="s">
        <v>302</v>
      </c>
    </row>
    <row r="6" spans="1:11" ht="75" customHeight="1" x14ac:dyDescent="0.3">
      <c r="A6" s="57">
        <v>1</v>
      </c>
      <c r="B6" s="58" t="s">
        <v>10</v>
      </c>
      <c r="C6" s="58" t="s">
        <v>11</v>
      </c>
      <c r="D6" s="59">
        <f>'CDC Source Data'!D31</f>
        <v>568271</v>
      </c>
      <c r="E6" s="59">
        <f>'CDC Source Data'!E31</f>
        <v>498</v>
      </c>
      <c r="F6" s="60">
        <f t="shared" ref="F6:F30" si="0">E6/D6*100000</f>
        <v>87.634244928915962</v>
      </c>
      <c r="G6" s="71" t="s">
        <v>303</v>
      </c>
      <c r="H6" s="58" t="s">
        <v>304</v>
      </c>
      <c r="I6" s="66">
        <v>561</v>
      </c>
      <c r="J6" s="60">
        <f t="shared" ref="J6:J30" si="1">IFERROR(I6/D6*100000,"")</f>
        <v>98.72050482956196</v>
      </c>
      <c r="K6" s="58" t="s">
        <v>305</v>
      </c>
    </row>
    <row r="7" spans="1:11" ht="75" customHeight="1" x14ac:dyDescent="0.3">
      <c r="A7" s="57">
        <v>2</v>
      </c>
      <c r="B7" s="58" t="s">
        <v>249</v>
      </c>
      <c r="C7" s="58" t="s">
        <v>29</v>
      </c>
      <c r="D7" s="59">
        <f>'CDC Source Data'!D495</f>
        <v>157765</v>
      </c>
      <c r="E7" s="59">
        <f>'CDC Source Data'!E495</f>
        <v>104</v>
      </c>
      <c r="F7" s="60">
        <f t="shared" si="0"/>
        <v>65.920831616645017</v>
      </c>
      <c r="G7" s="71" t="s">
        <v>306</v>
      </c>
      <c r="H7" s="58" t="s">
        <v>307</v>
      </c>
      <c r="I7" s="59"/>
      <c r="J7" s="60">
        <f t="shared" si="1"/>
        <v>0</v>
      </c>
      <c r="K7" s="58" t="s">
        <v>308</v>
      </c>
    </row>
    <row r="8" spans="1:11" ht="75" customHeight="1" x14ac:dyDescent="0.3">
      <c r="A8" s="57">
        <v>3</v>
      </c>
      <c r="B8" s="58" t="s">
        <v>229</v>
      </c>
      <c r="C8" s="58" t="s">
        <v>230</v>
      </c>
      <c r="D8" s="59">
        <f>'CDC Source Data'!D533</f>
        <v>279695</v>
      </c>
      <c r="E8" s="59">
        <f>'CDC Source Data'!E533</f>
        <v>180</v>
      </c>
      <c r="F8" s="60">
        <f t="shared" si="0"/>
        <v>64.355816156885169</v>
      </c>
      <c r="G8" s="71" t="s">
        <v>309</v>
      </c>
      <c r="H8" s="58" t="s">
        <v>307</v>
      </c>
      <c r="I8" s="59"/>
      <c r="J8" s="60">
        <f t="shared" si="1"/>
        <v>0</v>
      </c>
      <c r="K8" s="58" t="s">
        <v>310</v>
      </c>
    </row>
    <row r="9" spans="1:11" ht="75" customHeight="1" x14ac:dyDescent="0.3">
      <c r="A9" s="57">
        <v>4</v>
      </c>
      <c r="B9" s="58" t="s">
        <v>231</v>
      </c>
      <c r="C9" s="58" t="s">
        <v>232</v>
      </c>
      <c r="D9" s="59">
        <f>'CDC Source Data'!D20</f>
        <v>289600</v>
      </c>
      <c r="E9" s="59">
        <f>'CDC Source Data'!E20</f>
        <v>184</v>
      </c>
      <c r="F9" s="60">
        <f t="shared" si="0"/>
        <v>63.535911602209943</v>
      </c>
      <c r="G9" s="71" t="s">
        <v>311</v>
      </c>
      <c r="H9" s="58" t="s">
        <v>307</v>
      </c>
      <c r="I9" s="59"/>
      <c r="J9" s="60">
        <f t="shared" si="1"/>
        <v>0</v>
      </c>
      <c r="K9" s="58" t="s">
        <v>312</v>
      </c>
    </row>
    <row r="10" spans="1:11" ht="75" customHeight="1" x14ac:dyDescent="0.3">
      <c r="A10" s="57">
        <v>5</v>
      </c>
      <c r="B10" s="58" t="s">
        <v>233</v>
      </c>
      <c r="C10" s="58" t="s">
        <v>15</v>
      </c>
      <c r="D10" s="59">
        <f>'CDC Source Data'!D75</f>
        <v>208334</v>
      </c>
      <c r="E10" s="59">
        <f>'CDC Source Data'!E75</f>
        <v>127</v>
      </c>
      <c r="F10" s="60">
        <f t="shared" si="0"/>
        <v>60.959804928624237</v>
      </c>
      <c r="G10" s="71" t="s">
        <v>313</v>
      </c>
      <c r="H10" s="58" t="s">
        <v>307</v>
      </c>
      <c r="I10" s="59"/>
      <c r="J10" s="60">
        <f t="shared" si="1"/>
        <v>0</v>
      </c>
      <c r="K10" s="58" t="s">
        <v>314</v>
      </c>
    </row>
    <row r="11" spans="1:11" ht="79.2" customHeight="1" x14ac:dyDescent="0.3">
      <c r="A11" s="61">
        <v>6</v>
      </c>
      <c r="B11" s="62" t="s">
        <v>12</v>
      </c>
      <c r="C11" s="62" t="s">
        <v>13</v>
      </c>
      <c r="D11" s="63">
        <f>'CDC Source Data'!D523</f>
        <v>555947</v>
      </c>
      <c r="E11" s="63">
        <f>'CDC Source Data'!E523</f>
        <v>322</v>
      </c>
      <c r="F11" s="64">
        <f t="shared" si="0"/>
        <v>57.919190138628331</v>
      </c>
      <c r="G11" s="65" t="s">
        <v>315</v>
      </c>
      <c r="H11" s="62" t="s">
        <v>316</v>
      </c>
      <c r="I11" s="66">
        <v>344</v>
      </c>
      <c r="J11" s="64">
        <f t="shared" si="1"/>
        <v>61.876401887230251</v>
      </c>
      <c r="K11" s="62" t="s">
        <v>317</v>
      </c>
    </row>
    <row r="12" spans="1:11" ht="75" customHeight="1" x14ac:dyDescent="0.3">
      <c r="A12" s="57">
        <v>7</v>
      </c>
      <c r="B12" s="58" t="s">
        <v>14</v>
      </c>
      <c r="C12" s="58" t="s">
        <v>15</v>
      </c>
      <c r="D12" s="59">
        <f>'CDC Source Data'!D485</f>
        <v>827526</v>
      </c>
      <c r="E12" s="59">
        <f>'CDC Source Data'!E485</f>
        <v>473</v>
      </c>
      <c r="F12" s="60">
        <f t="shared" si="0"/>
        <v>57.15832493480567</v>
      </c>
      <c r="G12" s="71" t="s">
        <v>318</v>
      </c>
      <c r="H12" s="58" t="s">
        <v>319</v>
      </c>
      <c r="I12" s="59"/>
      <c r="J12" s="60">
        <f t="shared" si="1"/>
        <v>0</v>
      </c>
      <c r="K12" s="58" t="s">
        <v>320</v>
      </c>
    </row>
    <row r="13" spans="1:11" ht="75" customHeight="1" x14ac:dyDescent="0.3">
      <c r="A13" s="57">
        <v>8</v>
      </c>
      <c r="B13" s="58" t="s">
        <v>16</v>
      </c>
      <c r="C13" s="58" t="s">
        <v>17</v>
      </c>
      <c r="D13" s="59">
        <f>'CDC Source Data'!D174</f>
        <v>752772</v>
      </c>
      <c r="E13" s="59">
        <f>'CDC Source Data'!E174</f>
        <v>417</v>
      </c>
      <c r="F13" s="60">
        <f t="shared" si="0"/>
        <v>55.395259122284038</v>
      </c>
      <c r="G13" s="71" t="s">
        <v>321</v>
      </c>
      <c r="H13" s="58" t="s">
        <v>307</v>
      </c>
      <c r="I13" s="59"/>
      <c r="J13" s="60">
        <f t="shared" si="1"/>
        <v>0</v>
      </c>
      <c r="K13" s="58" t="s">
        <v>322</v>
      </c>
    </row>
    <row r="14" spans="1:11" ht="75" customHeight="1" x14ac:dyDescent="0.3">
      <c r="A14" s="57">
        <v>9</v>
      </c>
      <c r="B14" s="58" t="s">
        <v>18</v>
      </c>
      <c r="C14" s="58" t="s">
        <v>19</v>
      </c>
      <c r="D14" s="59">
        <f>'CDC Source Data'!D436</f>
        <v>1573916</v>
      </c>
      <c r="E14" s="59">
        <f>'CDC Source Data'!E436</f>
        <v>870</v>
      </c>
      <c r="F14" s="60">
        <f t="shared" si="0"/>
        <v>55.27613926029089</v>
      </c>
      <c r="G14" s="71" t="s">
        <v>323</v>
      </c>
      <c r="H14" s="58" t="s">
        <v>316</v>
      </c>
      <c r="I14" s="66">
        <v>747</v>
      </c>
      <c r="J14" s="60">
        <f t="shared" si="1"/>
        <v>47.461236813146314</v>
      </c>
      <c r="K14" s="58" t="s">
        <v>324</v>
      </c>
    </row>
    <row r="15" spans="1:11" ht="75" customHeight="1" x14ac:dyDescent="0.3">
      <c r="A15" s="57">
        <v>10</v>
      </c>
      <c r="B15" s="58" t="s">
        <v>20</v>
      </c>
      <c r="C15" s="58" t="s">
        <v>21</v>
      </c>
      <c r="D15" s="59">
        <f>'CDC Source Data'!D389</f>
        <v>795897</v>
      </c>
      <c r="E15" s="59">
        <f>'CDC Source Data'!E389</f>
        <v>423</v>
      </c>
      <c r="F15" s="60">
        <f t="shared" si="0"/>
        <v>53.147580654280638</v>
      </c>
      <c r="G15" s="71" t="s">
        <v>325</v>
      </c>
      <c r="H15" s="58" t="s">
        <v>307</v>
      </c>
      <c r="I15" s="59"/>
      <c r="J15" s="60">
        <f t="shared" si="1"/>
        <v>0</v>
      </c>
      <c r="K15" s="58" t="s">
        <v>326</v>
      </c>
    </row>
    <row r="16" spans="1:11" ht="75" customHeight="1" x14ac:dyDescent="0.3">
      <c r="A16" s="57">
        <v>11</v>
      </c>
      <c r="B16" s="58" t="s">
        <v>22</v>
      </c>
      <c r="C16" s="58" t="s">
        <v>17</v>
      </c>
      <c r="D16" s="59">
        <f>'CDC Source Data'!D155</f>
        <v>729019</v>
      </c>
      <c r="E16" s="59">
        <f>'CDC Source Data'!E155</f>
        <v>370</v>
      </c>
      <c r="F16" s="60">
        <f t="shared" si="0"/>
        <v>50.753135377815944</v>
      </c>
      <c r="G16" s="71" t="s">
        <v>327</v>
      </c>
      <c r="H16" s="58" t="s">
        <v>316</v>
      </c>
      <c r="I16" s="66">
        <v>515</v>
      </c>
      <c r="J16" s="60">
        <f t="shared" si="1"/>
        <v>70.642877620473541</v>
      </c>
      <c r="K16" s="58" t="s">
        <v>328</v>
      </c>
    </row>
    <row r="17" spans="1:11" ht="75" customHeight="1" x14ac:dyDescent="0.3">
      <c r="A17" s="57">
        <v>12</v>
      </c>
      <c r="B17" s="58" t="s">
        <v>23</v>
      </c>
      <c r="C17" s="58" t="s">
        <v>24</v>
      </c>
      <c r="D17" s="59">
        <f>'CDC Source Data'!D422</f>
        <v>362701</v>
      </c>
      <c r="E17" s="59">
        <f>'CDC Source Data'!E422</f>
        <v>176</v>
      </c>
      <c r="F17" s="60">
        <f t="shared" si="0"/>
        <v>48.52481796300534</v>
      </c>
      <c r="G17" s="71" t="s">
        <v>329</v>
      </c>
      <c r="H17" s="58" t="s">
        <v>330</v>
      </c>
      <c r="I17" s="66">
        <v>282</v>
      </c>
      <c r="J17" s="60">
        <f t="shared" si="1"/>
        <v>77.749992417997191</v>
      </c>
      <c r="K17" s="58" t="s">
        <v>331</v>
      </c>
    </row>
    <row r="18" spans="1:11" ht="75" customHeight="1" x14ac:dyDescent="0.3">
      <c r="A18" s="57">
        <v>13</v>
      </c>
      <c r="B18" s="58" t="s">
        <v>250</v>
      </c>
      <c r="C18" s="58" t="s">
        <v>15</v>
      </c>
      <c r="D18" s="59">
        <f>'CDC Source Data'!D252</f>
        <v>132380</v>
      </c>
      <c r="E18" s="59">
        <f>'CDC Source Data'!E252</f>
        <v>63</v>
      </c>
      <c r="F18" s="60">
        <f t="shared" si="0"/>
        <v>47.590270433600246</v>
      </c>
      <c r="G18" s="71" t="s">
        <v>332</v>
      </c>
      <c r="H18" s="58" t="s">
        <v>307</v>
      </c>
      <c r="I18" s="59"/>
      <c r="J18" s="60">
        <f t="shared" si="1"/>
        <v>0</v>
      </c>
      <c r="K18" s="58" t="s">
        <v>333</v>
      </c>
    </row>
    <row r="19" spans="1:11" ht="75" customHeight="1" x14ac:dyDescent="0.3">
      <c r="A19" s="67">
        <v>14</v>
      </c>
      <c r="B19" s="68" t="s">
        <v>234</v>
      </c>
      <c r="C19" s="68" t="s">
        <v>13</v>
      </c>
      <c r="D19" s="69">
        <f>'CDC Source Data'!D618</f>
        <v>258523</v>
      </c>
      <c r="E19" s="69">
        <f>'CDC Source Data'!E618</f>
        <v>123</v>
      </c>
      <c r="F19" s="70">
        <f t="shared" si="0"/>
        <v>47.577971785875917</v>
      </c>
      <c r="G19" s="72" t="s">
        <v>334</v>
      </c>
      <c r="H19" s="68" t="s">
        <v>330</v>
      </c>
      <c r="I19" s="66">
        <v>110</v>
      </c>
      <c r="J19" s="70">
        <f t="shared" si="1"/>
        <v>42.549405662165455</v>
      </c>
      <c r="K19" s="68" t="s">
        <v>335</v>
      </c>
    </row>
    <row r="20" spans="1:11" ht="75" customHeight="1" x14ac:dyDescent="0.3">
      <c r="A20" s="57">
        <v>15</v>
      </c>
      <c r="B20" s="58" t="s">
        <v>235</v>
      </c>
      <c r="C20" s="58" t="s">
        <v>43</v>
      </c>
      <c r="D20" s="59">
        <f>'CDC Source Data'!D372</f>
        <v>226479</v>
      </c>
      <c r="E20" s="59">
        <f>'CDC Source Data'!E372</f>
        <v>107</v>
      </c>
      <c r="F20" s="60">
        <f t="shared" si="0"/>
        <v>47.244998432525755</v>
      </c>
      <c r="G20" s="71" t="s">
        <v>336</v>
      </c>
      <c r="H20" s="58" t="s">
        <v>307</v>
      </c>
      <c r="I20" s="59"/>
      <c r="J20" s="60">
        <f t="shared" si="1"/>
        <v>0</v>
      </c>
      <c r="K20" s="58" t="s">
        <v>337</v>
      </c>
    </row>
    <row r="21" spans="1:11" ht="75" customHeight="1" x14ac:dyDescent="0.3">
      <c r="A21" s="57">
        <v>16</v>
      </c>
      <c r="B21" s="58" t="s">
        <v>251</v>
      </c>
      <c r="C21" s="58" t="s">
        <v>11</v>
      </c>
      <c r="D21" s="59">
        <f>'CDC Source Data'!D94</f>
        <v>106305</v>
      </c>
      <c r="E21" s="59">
        <f>'CDC Source Data'!E94</f>
        <v>50</v>
      </c>
      <c r="F21" s="60">
        <f t="shared" si="0"/>
        <v>47.034476271106719</v>
      </c>
      <c r="G21" s="71" t="s">
        <v>338</v>
      </c>
      <c r="H21" s="58" t="s">
        <v>307</v>
      </c>
      <c r="I21" s="59"/>
      <c r="J21" s="60">
        <f t="shared" si="1"/>
        <v>0</v>
      </c>
      <c r="K21" s="58" t="s">
        <v>339</v>
      </c>
    </row>
    <row r="22" spans="1:11" ht="75" customHeight="1" x14ac:dyDescent="0.3">
      <c r="A22" s="67">
        <v>17</v>
      </c>
      <c r="B22" s="68" t="s">
        <v>25</v>
      </c>
      <c r="C22" s="68" t="s">
        <v>13</v>
      </c>
      <c r="D22" s="69">
        <f>'CDC Source Data'!D438</f>
        <v>941170</v>
      </c>
      <c r="E22" s="69">
        <f>'CDC Source Data'!E438</f>
        <v>435</v>
      </c>
      <c r="F22" s="70">
        <f t="shared" si="0"/>
        <v>46.219067756090823</v>
      </c>
      <c r="G22" s="72" t="s">
        <v>340</v>
      </c>
      <c r="H22" s="68" t="s">
        <v>307</v>
      </c>
      <c r="I22" s="69"/>
      <c r="J22" s="70">
        <f t="shared" si="1"/>
        <v>0</v>
      </c>
      <c r="K22" s="68" t="s">
        <v>341</v>
      </c>
    </row>
    <row r="23" spans="1:11" ht="75" customHeight="1" x14ac:dyDescent="0.3">
      <c r="A23" s="57">
        <v>18</v>
      </c>
      <c r="B23" s="58" t="s">
        <v>26</v>
      </c>
      <c r="C23" s="58" t="s">
        <v>27</v>
      </c>
      <c r="D23" s="59">
        <f>'CDC Source Data'!D293</f>
        <v>506748</v>
      </c>
      <c r="E23" s="59">
        <f>'CDC Source Data'!E293</f>
        <v>233</v>
      </c>
      <c r="F23" s="60">
        <f t="shared" si="0"/>
        <v>45.979461191756059</v>
      </c>
      <c r="G23" s="71" t="s">
        <v>342</v>
      </c>
      <c r="H23" s="58" t="s">
        <v>330</v>
      </c>
      <c r="I23" s="66">
        <v>307</v>
      </c>
      <c r="J23" s="60">
        <f t="shared" si="1"/>
        <v>60.582380196863141</v>
      </c>
      <c r="K23" s="58" t="s">
        <v>343</v>
      </c>
    </row>
    <row r="24" spans="1:11" ht="75" customHeight="1" x14ac:dyDescent="0.3">
      <c r="A24" s="57">
        <v>19</v>
      </c>
      <c r="B24" s="58" t="s">
        <v>28</v>
      </c>
      <c r="C24" s="58" t="s">
        <v>29</v>
      </c>
      <c r="D24" s="59">
        <f>'CDC Source Data'!D47</f>
        <v>671747</v>
      </c>
      <c r="E24" s="59">
        <f>'CDC Source Data'!E47</f>
        <v>308</v>
      </c>
      <c r="F24" s="60">
        <f t="shared" si="0"/>
        <v>45.850595536712483</v>
      </c>
      <c r="G24" s="71" t="s">
        <v>344</v>
      </c>
      <c r="H24" s="58" t="s">
        <v>307</v>
      </c>
      <c r="I24" s="59"/>
      <c r="J24" s="60">
        <f t="shared" si="1"/>
        <v>0</v>
      </c>
      <c r="K24" s="58" t="s">
        <v>345</v>
      </c>
    </row>
    <row r="25" spans="1:11" ht="75" customHeight="1" x14ac:dyDescent="0.3">
      <c r="A25" s="57">
        <v>20</v>
      </c>
      <c r="B25" s="58" t="s">
        <v>252</v>
      </c>
      <c r="C25" s="58" t="s">
        <v>253</v>
      </c>
      <c r="D25" s="59">
        <f>'CDC Source Data'!D277</f>
        <v>173906</v>
      </c>
      <c r="E25" s="59">
        <f>'CDC Source Data'!E277</f>
        <v>78</v>
      </c>
      <c r="F25" s="60">
        <f t="shared" si="0"/>
        <v>44.851816498568191</v>
      </c>
      <c r="G25" s="71" t="s">
        <v>346</v>
      </c>
      <c r="H25" s="58" t="s">
        <v>307</v>
      </c>
      <c r="I25" s="59"/>
      <c r="J25" s="60">
        <f t="shared" si="1"/>
        <v>0</v>
      </c>
      <c r="K25" s="58" t="s">
        <v>347</v>
      </c>
    </row>
    <row r="26" spans="1:11" ht="75" customHeight="1" x14ac:dyDescent="0.3">
      <c r="A26" s="67">
        <v>21</v>
      </c>
      <c r="B26" s="68" t="s">
        <v>254</v>
      </c>
      <c r="C26" s="68" t="s">
        <v>13</v>
      </c>
      <c r="D26" s="69">
        <f>'CDC Source Data'!D131</f>
        <v>113982</v>
      </c>
      <c r="E26" s="69">
        <f>'CDC Source Data'!E131</f>
        <v>49</v>
      </c>
      <c r="F26" s="70">
        <f t="shared" si="0"/>
        <v>42.989243915705984</v>
      </c>
      <c r="G26" s="72" t="s">
        <v>348</v>
      </c>
      <c r="H26" s="68" t="s">
        <v>307</v>
      </c>
      <c r="I26" s="69"/>
      <c r="J26" s="70">
        <f t="shared" si="1"/>
        <v>0</v>
      </c>
      <c r="K26" s="68" t="s">
        <v>349</v>
      </c>
    </row>
    <row r="27" spans="1:11" ht="75" customHeight="1" x14ac:dyDescent="0.3">
      <c r="A27" s="57">
        <v>22</v>
      </c>
      <c r="B27" s="58" t="s">
        <v>30</v>
      </c>
      <c r="C27" s="58" t="s">
        <v>27</v>
      </c>
      <c r="D27" s="59">
        <f>'CDC Source Data'!D144</f>
        <v>729505</v>
      </c>
      <c r="E27" s="59">
        <f>'CDC Source Data'!E144</f>
        <v>308</v>
      </c>
      <c r="F27" s="60">
        <f t="shared" si="0"/>
        <v>42.220409729885333</v>
      </c>
      <c r="G27" s="71" t="s">
        <v>350</v>
      </c>
      <c r="H27" s="58" t="s">
        <v>351</v>
      </c>
      <c r="I27" s="59"/>
      <c r="J27" s="60">
        <f t="shared" si="1"/>
        <v>0</v>
      </c>
      <c r="K27" s="58" t="s">
        <v>352</v>
      </c>
    </row>
    <row r="28" spans="1:11" ht="75" customHeight="1" x14ac:dyDescent="0.3">
      <c r="A28" s="57">
        <v>23</v>
      </c>
      <c r="B28" s="58" t="s">
        <v>31</v>
      </c>
      <c r="C28" s="58" t="s">
        <v>32</v>
      </c>
      <c r="D28" s="59">
        <f>'CDC Source Data'!D64</f>
        <v>1384724</v>
      </c>
      <c r="E28" s="59">
        <f>'CDC Source Data'!E64</f>
        <v>582</v>
      </c>
      <c r="F28" s="60">
        <f t="shared" si="0"/>
        <v>42.030036310484974</v>
      </c>
      <c r="G28" s="71" t="s">
        <v>353</v>
      </c>
      <c r="H28" s="58" t="s">
        <v>307</v>
      </c>
      <c r="I28" s="59"/>
      <c r="J28" s="60">
        <f t="shared" si="1"/>
        <v>0</v>
      </c>
      <c r="K28" s="58" t="s">
        <v>354</v>
      </c>
    </row>
    <row r="29" spans="1:11" ht="75" customHeight="1" x14ac:dyDescent="0.3">
      <c r="A29" s="57">
        <v>24</v>
      </c>
      <c r="B29" s="58" t="s">
        <v>255</v>
      </c>
      <c r="C29" s="58" t="s">
        <v>17</v>
      </c>
      <c r="D29" s="59">
        <f>'CDC Source Data'!D454</f>
        <v>169866</v>
      </c>
      <c r="E29" s="59">
        <f>'CDC Source Data'!E454</f>
        <v>70</v>
      </c>
      <c r="F29" s="60">
        <f t="shared" si="0"/>
        <v>41.208952939375742</v>
      </c>
      <c r="G29" s="71" t="s">
        <v>355</v>
      </c>
      <c r="H29" s="58" t="s">
        <v>307</v>
      </c>
      <c r="I29" s="59"/>
      <c r="J29" s="60">
        <f t="shared" si="1"/>
        <v>0</v>
      </c>
      <c r="K29" s="58" t="s">
        <v>356</v>
      </c>
    </row>
    <row r="30" spans="1:11" ht="75" customHeight="1" x14ac:dyDescent="0.3">
      <c r="A30" s="57">
        <v>25</v>
      </c>
      <c r="B30" s="58" t="s">
        <v>236</v>
      </c>
      <c r="C30" s="58" t="s">
        <v>237</v>
      </c>
      <c r="D30" s="59">
        <f>'CDC Source Data'!D28</f>
        <v>279114</v>
      </c>
      <c r="E30" s="59">
        <f>'CDC Source Data'!E28</f>
        <v>111</v>
      </c>
      <c r="F30" s="60">
        <f t="shared" si="0"/>
        <v>39.768696661579135</v>
      </c>
      <c r="G30" s="71" t="s">
        <v>357</v>
      </c>
      <c r="H30" s="58" t="s">
        <v>330</v>
      </c>
      <c r="I30" s="66">
        <v>86</v>
      </c>
      <c r="J30" s="60">
        <f t="shared" si="1"/>
        <v>30.811782999061315</v>
      </c>
      <c r="K30" s="58" t="s">
        <v>358</v>
      </c>
    </row>
    <row r="33" spans="1:11" ht="15.6" customHeight="1" x14ac:dyDescent="0.3">
      <c r="A33" s="34" t="s">
        <v>359</v>
      </c>
    </row>
    <row r="34" spans="1:11" x14ac:dyDescent="0.3">
      <c r="A34" s="117" t="s">
        <v>360</v>
      </c>
      <c r="B34" s="118"/>
      <c r="C34" s="118"/>
      <c r="D34" s="118"/>
      <c r="E34" s="118"/>
      <c r="F34" s="118"/>
      <c r="G34" s="118"/>
      <c r="H34" s="118"/>
      <c r="I34" s="118"/>
      <c r="J34" s="118"/>
      <c r="K34" s="118"/>
    </row>
    <row r="35" spans="1:11" x14ac:dyDescent="0.3">
      <c r="A35" s="117" t="s">
        <v>361</v>
      </c>
      <c r="B35" s="118"/>
      <c r="C35" s="118"/>
      <c r="D35" s="118"/>
      <c r="E35" s="118"/>
      <c r="F35" s="118"/>
      <c r="G35" s="118"/>
      <c r="H35" s="118"/>
      <c r="I35" s="118"/>
      <c r="J35" s="118"/>
      <c r="K35" s="118"/>
    </row>
    <row r="36" spans="1:11" x14ac:dyDescent="0.3">
      <c r="A36" s="117" t="s">
        <v>362</v>
      </c>
      <c r="B36" s="118"/>
      <c r="C36" s="118"/>
      <c r="D36" s="118"/>
      <c r="E36" s="118"/>
      <c r="F36" s="118"/>
      <c r="G36" s="118"/>
      <c r="H36" s="118"/>
      <c r="I36" s="118"/>
      <c r="J36" s="118"/>
      <c r="K36" s="118"/>
    </row>
    <row r="37" spans="1:11" x14ac:dyDescent="0.3">
      <c r="A37" s="117" t="s">
        <v>363</v>
      </c>
      <c r="B37" s="118"/>
      <c r="C37" s="118"/>
      <c r="D37" s="118"/>
      <c r="E37" s="118"/>
      <c r="F37" s="118"/>
      <c r="G37" s="118"/>
      <c r="H37" s="118"/>
      <c r="I37" s="118"/>
      <c r="J37" s="118"/>
      <c r="K37" s="118"/>
    </row>
    <row r="38" spans="1:11" x14ac:dyDescent="0.3">
      <c r="A38" s="117" t="s">
        <v>364</v>
      </c>
      <c r="B38" s="118"/>
      <c r="C38" s="118"/>
      <c r="D38" s="118"/>
      <c r="E38" s="118"/>
      <c r="F38" s="118"/>
      <c r="G38" s="118"/>
      <c r="H38" s="118"/>
      <c r="I38" s="118"/>
      <c r="J38" s="118"/>
      <c r="K38" s="118"/>
    </row>
    <row r="39" spans="1:11" x14ac:dyDescent="0.3">
      <c r="A39" s="117" t="s">
        <v>365</v>
      </c>
      <c r="B39" s="118"/>
      <c r="C39" s="118"/>
      <c r="D39" s="118"/>
      <c r="E39" s="118"/>
      <c r="F39" s="118"/>
      <c r="G39" s="118"/>
      <c r="H39" s="118"/>
      <c r="I39" s="118"/>
      <c r="J39" s="118"/>
      <c r="K39" s="118"/>
    </row>
    <row r="40" spans="1:11" x14ac:dyDescent="0.3">
      <c r="A40" s="117"/>
      <c r="B40" s="118"/>
      <c r="C40" s="118"/>
      <c r="D40" s="118"/>
      <c r="E40" s="118"/>
      <c r="F40" s="118"/>
      <c r="G40" s="118"/>
      <c r="H40" s="118"/>
      <c r="I40" s="118"/>
      <c r="J40" s="118"/>
      <c r="K40" s="118"/>
    </row>
    <row r="41" spans="1:11" x14ac:dyDescent="0.3">
      <c r="A41" s="117" t="s">
        <v>366</v>
      </c>
      <c r="B41" s="118"/>
      <c r="C41" s="118"/>
      <c r="D41" s="118"/>
      <c r="E41" s="118"/>
      <c r="F41" s="118"/>
      <c r="G41" s="118"/>
      <c r="H41" s="118"/>
      <c r="I41" s="118"/>
      <c r="J41" s="118"/>
      <c r="K41" s="118"/>
    </row>
    <row r="42" spans="1:11" x14ac:dyDescent="0.3">
      <c r="A42" s="117" t="s">
        <v>367</v>
      </c>
      <c r="B42" s="118"/>
      <c r="C42" s="118"/>
      <c r="D42" s="118"/>
      <c r="E42" s="118"/>
      <c r="F42" s="118"/>
      <c r="G42" s="118"/>
      <c r="H42" s="118"/>
      <c r="I42" s="118"/>
      <c r="J42" s="118"/>
      <c r="K42" s="118"/>
    </row>
  </sheetData>
  <mergeCells count="9">
    <mergeCell ref="A42:K42"/>
    <mergeCell ref="A36:K36"/>
    <mergeCell ref="A40:K40"/>
    <mergeCell ref="A37:K37"/>
    <mergeCell ref="A34:K34"/>
    <mergeCell ref="A35:K35"/>
    <mergeCell ref="A39:K39"/>
    <mergeCell ref="A41:K41"/>
    <mergeCell ref="A38:K38"/>
  </mergeCells>
  <hyperlinks>
    <hyperlink ref="G6" r:id="rId1" xr:uid="{00000000-0004-0000-0400-000000000000}"/>
    <hyperlink ref="G7" r:id="rId2" xr:uid="{00000000-0004-0000-0400-000001000000}"/>
    <hyperlink ref="G8" r:id="rId3" xr:uid="{00000000-0004-0000-0400-000002000000}"/>
    <hyperlink ref="G9" r:id="rId4" xr:uid="{00000000-0004-0000-0400-000003000000}"/>
    <hyperlink ref="G10" r:id="rId5" xr:uid="{00000000-0004-0000-0400-000004000000}"/>
    <hyperlink ref="G11" r:id="rId6" xr:uid="{00000000-0004-0000-0400-000005000000}"/>
    <hyperlink ref="G12" r:id="rId7" xr:uid="{00000000-0004-0000-0400-000006000000}"/>
    <hyperlink ref="G13" r:id="rId8" xr:uid="{00000000-0004-0000-0400-000007000000}"/>
    <hyperlink ref="G14" r:id="rId9" xr:uid="{00000000-0004-0000-0400-000008000000}"/>
    <hyperlink ref="G15" r:id="rId10" xr:uid="{00000000-0004-0000-0400-000009000000}"/>
    <hyperlink ref="G16" r:id="rId11" xr:uid="{00000000-0004-0000-0400-00000A000000}"/>
    <hyperlink ref="G17" r:id="rId12" xr:uid="{00000000-0004-0000-0400-00000B000000}"/>
    <hyperlink ref="G18" r:id="rId13" xr:uid="{00000000-0004-0000-0400-00000C000000}"/>
    <hyperlink ref="G19" r:id="rId14" xr:uid="{00000000-0004-0000-0400-00000D000000}"/>
    <hyperlink ref="G20" r:id="rId15" xr:uid="{00000000-0004-0000-0400-00000E000000}"/>
    <hyperlink ref="G21" r:id="rId16" xr:uid="{00000000-0004-0000-0400-00000F000000}"/>
    <hyperlink ref="G22" r:id="rId17" xr:uid="{00000000-0004-0000-0400-000010000000}"/>
    <hyperlink ref="G23" r:id="rId18" xr:uid="{00000000-0004-0000-0400-000011000000}"/>
    <hyperlink ref="G24" r:id="rId19" xr:uid="{00000000-0004-0000-0400-000012000000}"/>
    <hyperlink ref="G25" r:id="rId20" xr:uid="{00000000-0004-0000-0400-000013000000}"/>
    <hyperlink ref="G26" r:id="rId21" xr:uid="{00000000-0004-0000-0400-000014000000}"/>
    <hyperlink ref="G27" r:id="rId22" xr:uid="{00000000-0004-0000-0400-000015000000}"/>
    <hyperlink ref="G28" r:id="rId23" xr:uid="{00000000-0004-0000-0400-000016000000}"/>
    <hyperlink ref="G29" r:id="rId24" xr:uid="{00000000-0004-0000-0400-000017000000}"/>
    <hyperlink ref="G30" r:id="rId25" xr:uid="{00000000-0004-0000-0400-000018000000}"/>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61"/>
  <sheetViews>
    <sheetView showGridLines="0" topLeftCell="A31" workbookViewId="0"/>
  </sheetViews>
  <sheetFormatPr defaultRowHeight="14.4" x14ac:dyDescent="0.3"/>
  <cols>
    <col min="1" max="1" width="6" customWidth="1"/>
    <col min="2" max="2" width="28" customWidth="1"/>
    <col min="3" max="3" width="20" customWidth="1"/>
    <col min="4" max="4" width="14" customWidth="1"/>
    <col min="5" max="5" width="10" customWidth="1"/>
    <col min="6" max="6" width="13" customWidth="1"/>
    <col min="7" max="7" width="22" customWidth="1"/>
  </cols>
  <sheetData>
    <row r="1" spans="1:4" ht="17.399999999999999" customHeight="1" x14ac:dyDescent="0.3">
      <c r="A1" s="1" t="s">
        <v>368</v>
      </c>
    </row>
    <row r="2" spans="1:4" x14ac:dyDescent="0.3">
      <c r="A2" s="2" t="s">
        <v>369</v>
      </c>
    </row>
    <row r="3" spans="1:4" x14ac:dyDescent="0.3">
      <c r="A3" s="2" t="s">
        <v>370</v>
      </c>
    </row>
    <row r="5" spans="1:4" ht="15.6" customHeight="1" x14ac:dyDescent="0.3">
      <c r="A5" s="34" t="s">
        <v>371</v>
      </c>
    </row>
    <row r="6" spans="1:4" ht="28.2" customHeight="1" x14ac:dyDescent="0.3">
      <c r="A6" s="35"/>
      <c r="B6" s="35" t="s">
        <v>372</v>
      </c>
      <c r="C6" s="35" t="s">
        <v>373</v>
      </c>
      <c r="D6" s="35" t="s">
        <v>374</v>
      </c>
    </row>
    <row r="7" spans="1:4" x14ac:dyDescent="0.3">
      <c r="A7" s="7" t="s">
        <v>375</v>
      </c>
      <c r="B7" s="7" t="s">
        <v>376</v>
      </c>
      <c r="C7" s="7" t="s">
        <v>376</v>
      </c>
      <c r="D7" s="7" t="s">
        <v>377</v>
      </c>
    </row>
    <row r="8" spans="1:4" x14ac:dyDescent="0.3">
      <c r="A8" s="7" t="s">
        <v>378</v>
      </c>
      <c r="B8" s="7" t="s">
        <v>379</v>
      </c>
      <c r="C8" s="7" t="s">
        <v>379</v>
      </c>
      <c r="D8" s="7" t="s">
        <v>380</v>
      </c>
    </row>
    <row r="9" spans="1:4" x14ac:dyDescent="0.3">
      <c r="A9" s="7" t="s">
        <v>381</v>
      </c>
      <c r="B9" s="7" t="s">
        <v>382</v>
      </c>
      <c r="C9" s="7" t="s">
        <v>382</v>
      </c>
      <c r="D9" s="7" t="s">
        <v>382</v>
      </c>
    </row>
    <row r="10" spans="1:4" x14ac:dyDescent="0.3">
      <c r="A10" s="36" t="s">
        <v>383</v>
      </c>
      <c r="B10" s="36" t="s">
        <v>384</v>
      </c>
      <c r="C10" s="36" t="s">
        <v>385</v>
      </c>
      <c r="D10" s="36" t="s">
        <v>386</v>
      </c>
    </row>
    <row r="11" spans="1:4" x14ac:dyDescent="0.3">
      <c r="A11" s="7" t="s">
        <v>387</v>
      </c>
      <c r="B11" s="7" t="s">
        <v>388</v>
      </c>
      <c r="C11" s="7" t="s">
        <v>389</v>
      </c>
      <c r="D11" s="7" t="s">
        <v>390</v>
      </c>
    </row>
    <row r="12" spans="1:4" x14ac:dyDescent="0.3">
      <c r="A12" s="7" t="s">
        <v>391</v>
      </c>
      <c r="B12" s="7" t="s">
        <v>392</v>
      </c>
      <c r="C12" s="7" t="s">
        <v>393</v>
      </c>
      <c r="D12" s="7" t="s">
        <v>394</v>
      </c>
    </row>
    <row r="15" spans="1:4" ht="15.6" customHeight="1" x14ac:dyDescent="0.3">
      <c r="A15" s="34" t="s">
        <v>395</v>
      </c>
    </row>
    <row r="16" spans="1:4" x14ac:dyDescent="0.3">
      <c r="A16" s="37" t="s">
        <v>396</v>
      </c>
    </row>
    <row r="18" spans="1:7" ht="28.2" customHeight="1" x14ac:dyDescent="0.3">
      <c r="A18" s="35" t="s">
        <v>3</v>
      </c>
      <c r="B18" s="35" t="s">
        <v>4</v>
      </c>
      <c r="C18" s="35" t="s">
        <v>5</v>
      </c>
      <c r="D18" s="35" t="s">
        <v>397</v>
      </c>
      <c r="E18" s="35" t="s">
        <v>398</v>
      </c>
      <c r="F18" s="35" t="s">
        <v>399</v>
      </c>
      <c r="G18" s="35" t="s">
        <v>400</v>
      </c>
    </row>
    <row r="19" spans="1:7" x14ac:dyDescent="0.3">
      <c r="A19" s="38">
        <v>1</v>
      </c>
      <c r="B19" s="39" t="s">
        <v>10</v>
      </c>
      <c r="C19" s="39" t="s">
        <v>11</v>
      </c>
      <c r="D19" s="40">
        <v>567517</v>
      </c>
      <c r="E19" s="40">
        <v>530</v>
      </c>
      <c r="F19" s="41">
        <v>93.39</v>
      </c>
      <c r="G19" s="38" t="s">
        <v>401</v>
      </c>
    </row>
    <row r="20" spans="1:7" x14ac:dyDescent="0.3">
      <c r="A20" s="38">
        <v>2</v>
      </c>
      <c r="B20" s="39" t="s">
        <v>229</v>
      </c>
      <c r="C20" s="39" t="s">
        <v>230</v>
      </c>
      <c r="D20" s="40">
        <v>282772</v>
      </c>
      <c r="E20" s="40">
        <v>188</v>
      </c>
      <c r="F20" s="41">
        <v>66.48</v>
      </c>
      <c r="G20" s="38" t="s">
        <v>401</v>
      </c>
    </row>
    <row r="21" spans="1:7" x14ac:dyDescent="0.3">
      <c r="A21" s="42">
        <v>3</v>
      </c>
      <c r="B21" s="43" t="s">
        <v>231</v>
      </c>
      <c r="C21" s="43" t="s">
        <v>232</v>
      </c>
      <c r="D21" s="44">
        <v>287932</v>
      </c>
      <c r="E21" s="44">
        <v>182</v>
      </c>
      <c r="F21" s="45">
        <v>63.21</v>
      </c>
      <c r="G21" s="42" t="s">
        <v>402</v>
      </c>
    </row>
    <row r="22" spans="1:7" x14ac:dyDescent="0.3">
      <c r="A22" s="42">
        <v>4</v>
      </c>
      <c r="B22" s="43" t="s">
        <v>233</v>
      </c>
      <c r="C22" s="43" t="s">
        <v>15</v>
      </c>
      <c r="D22" s="44">
        <v>207354</v>
      </c>
      <c r="E22" s="44">
        <v>127</v>
      </c>
      <c r="F22" s="45">
        <v>61.25</v>
      </c>
      <c r="G22" s="42" t="s">
        <v>402</v>
      </c>
    </row>
    <row r="23" spans="1:7" x14ac:dyDescent="0.3">
      <c r="A23" s="38">
        <v>5</v>
      </c>
      <c r="B23" s="39" t="s">
        <v>18</v>
      </c>
      <c r="C23" s="39" t="s">
        <v>19</v>
      </c>
      <c r="D23" s="40">
        <v>1563349</v>
      </c>
      <c r="E23" s="40">
        <v>927</v>
      </c>
      <c r="F23" s="41">
        <v>59.3</v>
      </c>
      <c r="G23" s="38" t="s">
        <v>401</v>
      </c>
    </row>
    <row r="24" spans="1:7" x14ac:dyDescent="0.3">
      <c r="A24" s="38">
        <v>6</v>
      </c>
      <c r="B24" s="39" t="s">
        <v>20</v>
      </c>
      <c r="C24" s="39" t="s">
        <v>21</v>
      </c>
      <c r="D24" s="40">
        <v>794271</v>
      </c>
      <c r="E24" s="40">
        <v>468</v>
      </c>
      <c r="F24" s="41">
        <v>58.92</v>
      </c>
      <c r="G24" s="38" t="s">
        <v>401</v>
      </c>
    </row>
    <row r="25" spans="1:7" x14ac:dyDescent="0.3">
      <c r="A25" s="46">
        <v>7</v>
      </c>
      <c r="B25" s="47" t="s">
        <v>12</v>
      </c>
      <c r="C25" s="47" t="s">
        <v>13</v>
      </c>
      <c r="D25" s="48">
        <v>552758</v>
      </c>
      <c r="E25" s="48">
        <v>320</v>
      </c>
      <c r="F25" s="49">
        <v>57.89</v>
      </c>
      <c r="G25" s="46" t="s">
        <v>401</v>
      </c>
    </row>
    <row r="26" spans="1:7" x14ac:dyDescent="0.3">
      <c r="A26" s="38">
        <v>8</v>
      </c>
      <c r="B26" s="39" t="s">
        <v>14</v>
      </c>
      <c r="C26" s="39" t="s">
        <v>15</v>
      </c>
      <c r="D26" s="40">
        <v>819151</v>
      </c>
      <c r="E26" s="40">
        <v>464</v>
      </c>
      <c r="F26" s="41">
        <v>56.64</v>
      </c>
      <c r="G26" s="38" t="s">
        <v>401</v>
      </c>
    </row>
    <row r="27" spans="1:7" x14ac:dyDescent="0.3">
      <c r="A27" s="42">
        <v>9</v>
      </c>
      <c r="B27" s="43" t="s">
        <v>234</v>
      </c>
      <c r="C27" s="43" t="s">
        <v>13</v>
      </c>
      <c r="D27" s="44">
        <v>257193</v>
      </c>
      <c r="E27" s="44">
        <v>130</v>
      </c>
      <c r="F27" s="45">
        <v>50.55</v>
      </c>
      <c r="G27" s="42" t="s">
        <v>402</v>
      </c>
    </row>
    <row r="28" spans="1:7" x14ac:dyDescent="0.3">
      <c r="A28" s="42">
        <v>10</v>
      </c>
      <c r="B28" s="43" t="s">
        <v>235</v>
      </c>
      <c r="C28" s="43" t="s">
        <v>43</v>
      </c>
      <c r="D28" s="44">
        <v>223801</v>
      </c>
      <c r="E28" s="44">
        <v>113</v>
      </c>
      <c r="F28" s="45">
        <v>50.49</v>
      </c>
      <c r="G28" s="42" t="s">
        <v>402</v>
      </c>
    </row>
    <row r="29" spans="1:7" x14ac:dyDescent="0.3">
      <c r="A29" s="38">
        <v>11</v>
      </c>
      <c r="B29" s="39" t="s">
        <v>22</v>
      </c>
      <c r="C29" s="39" t="s">
        <v>17</v>
      </c>
      <c r="D29" s="40">
        <v>721367</v>
      </c>
      <c r="E29" s="40">
        <v>363</v>
      </c>
      <c r="F29" s="41">
        <v>50.32</v>
      </c>
      <c r="G29" s="38" t="s">
        <v>401</v>
      </c>
    </row>
    <row r="30" spans="1:7" x14ac:dyDescent="0.3">
      <c r="A30" s="38">
        <v>12</v>
      </c>
      <c r="B30" s="39" t="s">
        <v>16</v>
      </c>
      <c r="C30" s="39" t="s">
        <v>17</v>
      </c>
      <c r="D30" s="40">
        <v>746934</v>
      </c>
      <c r="E30" s="40">
        <v>372</v>
      </c>
      <c r="F30" s="41">
        <v>49.8</v>
      </c>
      <c r="G30" s="38" t="s">
        <v>401</v>
      </c>
    </row>
    <row r="31" spans="1:7" x14ac:dyDescent="0.3">
      <c r="A31" s="38">
        <v>13</v>
      </c>
      <c r="B31" s="39" t="s">
        <v>30</v>
      </c>
      <c r="C31" s="39" t="s">
        <v>27</v>
      </c>
      <c r="D31" s="40">
        <v>719092</v>
      </c>
      <c r="E31" s="40">
        <v>352</v>
      </c>
      <c r="F31" s="41">
        <v>48.95</v>
      </c>
      <c r="G31" s="38" t="s">
        <v>401</v>
      </c>
    </row>
    <row r="32" spans="1:7" x14ac:dyDescent="0.3">
      <c r="A32" s="42">
        <v>14</v>
      </c>
      <c r="B32" s="43" t="s">
        <v>23</v>
      </c>
      <c r="C32" s="43" t="s">
        <v>24</v>
      </c>
      <c r="D32" s="44">
        <v>365167</v>
      </c>
      <c r="E32" s="44">
        <v>178</v>
      </c>
      <c r="F32" s="45">
        <v>48.74</v>
      </c>
      <c r="G32" s="42" t="s">
        <v>402</v>
      </c>
    </row>
    <row r="33" spans="1:7" x14ac:dyDescent="0.3">
      <c r="A33" s="38">
        <v>15</v>
      </c>
      <c r="B33" s="39" t="s">
        <v>26</v>
      </c>
      <c r="C33" s="39" t="s">
        <v>27</v>
      </c>
      <c r="D33" s="40">
        <v>501576</v>
      </c>
      <c r="E33" s="40">
        <v>244</v>
      </c>
      <c r="F33" s="41">
        <v>48.65</v>
      </c>
      <c r="G33" s="38" t="s">
        <v>401</v>
      </c>
    </row>
    <row r="34" spans="1:7" x14ac:dyDescent="0.3">
      <c r="A34" s="38">
        <v>16</v>
      </c>
      <c r="B34" s="39" t="s">
        <v>25</v>
      </c>
      <c r="C34" s="39" t="s">
        <v>13</v>
      </c>
      <c r="D34" s="40">
        <v>931718</v>
      </c>
      <c r="E34" s="40">
        <v>437</v>
      </c>
      <c r="F34" s="41">
        <v>46.9</v>
      </c>
      <c r="G34" s="38" t="s">
        <v>401</v>
      </c>
    </row>
    <row r="35" spans="1:7" x14ac:dyDescent="0.3">
      <c r="A35" s="38">
        <v>17</v>
      </c>
      <c r="B35" s="39" t="s">
        <v>28</v>
      </c>
      <c r="C35" s="39" t="s">
        <v>29</v>
      </c>
      <c r="D35" s="40">
        <v>672572</v>
      </c>
      <c r="E35" s="40">
        <v>294</v>
      </c>
      <c r="F35" s="41">
        <v>43.71</v>
      </c>
      <c r="G35" s="38" t="s">
        <v>401</v>
      </c>
    </row>
    <row r="36" spans="1:7" x14ac:dyDescent="0.3">
      <c r="A36" s="42">
        <v>18</v>
      </c>
      <c r="B36" s="43" t="s">
        <v>236</v>
      </c>
      <c r="C36" s="43" t="s">
        <v>237</v>
      </c>
      <c r="D36" s="44">
        <v>276937</v>
      </c>
      <c r="E36" s="44">
        <v>121</v>
      </c>
      <c r="F36" s="45">
        <v>43.69</v>
      </c>
      <c r="G36" s="42" t="s">
        <v>402</v>
      </c>
    </row>
    <row r="37" spans="1:7" x14ac:dyDescent="0.3">
      <c r="A37" s="42">
        <v>19</v>
      </c>
      <c r="B37" s="43" t="s">
        <v>36</v>
      </c>
      <c r="C37" s="43" t="s">
        <v>36</v>
      </c>
      <c r="D37" s="44">
        <v>687324</v>
      </c>
      <c r="E37" s="44">
        <v>297</v>
      </c>
      <c r="F37" s="45">
        <v>43.21</v>
      </c>
      <c r="G37" s="42" t="s">
        <v>402</v>
      </c>
    </row>
    <row r="38" spans="1:7" x14ac:dyDescent="0.3">
      <c r="A38" s="38">
        <v>20</v>
      </c>
      <c r="B38" s="39" t="s">
        <v>31</v>
      </c>
      <c r="C38" s="39" t="s">
        <v>32</v>
      </c>
      <c r="D38" s="40">
        <v>1375266</v>
      </c>
      <c r="E38" s="40">
        <v>594</v>
      </c>
      <c r="F38" s="41">
        <v>43.19</v>
      </c>
      <c r="G38" s="38" t="s">
        <v>401</v>
      </c>
    </row>
    <row r="39" spans="1:7" x14ac:dyDescent="0.3">
      <c r="A39" s="38">
        <v>21</v>
      </c>
      <c r="B39" s="39" t="s">
        <v>33</v>
      </c>
      <c r="C39" s="39" t="s">
        <v>13</v>
      </c>
      <c r="D39" s="40">
        <v>2296813</v>
      </c>
      <c r="E39" s="40">
        <v>940</v>
      </c>
      <c r="F39" s="41">
        <v>40.93</v>
      </c>
      <c r="G39" s="38" t="s">
        <v>401</v>
      </c>
    </row>
    <row r="40" spans="1:7" x14ac:dyDescent="0.3">
      <c r="A40" s="42">
        <v>22</v>
      </c>
      <c r="B40" s="43" t="s">
        <v>238</v>
      </c>
      <c r="C40" s="43" t="s">
        <v>239</v>
      </c>
      <c r="D40" s="44">
        <v>230383</v>
      </c>
      <c r="E40" s="44">
        <v>94</v>
      </c>
      <c r="F40" s="45">
        <v>40.799999999999997</v>
      </c>
      <c r="G40" s="42" t="s">
        <v>402</v>
      </c>
    </row>
    <row r="41" spans="1:7" x14ac:dyDescent="0.3">
      <c r="A41" s="42">
        <v>23</v>
      </c>
      <c r="B41" s="43" t="s">
        <v>39</v>
      </c>
      <c r="C41" s="43" t="s">
        <v>13</v>
      </c>
      <c r="D41" s="44">
        <v>299519</v>
      </c>
      <c r="E41" s="44">
        <v>120</v>
      </c>
      <c r="F41" s="45">
        <v>40.06</v>
      </c>
      <c r="G41" s="42" t="s">
        <v>402</v>
      </c>
    </row>
    <row r="42" spans="1:7" x14ac:dyDescent="0.3">
      <c r="A42" s="38">
        <v>24</v>
      </c>
      <c r="B42" s="39" t="s">
        <v>34</v>
      </c>
      <c r="C42" s="39" t="s">
        <v>35</v>
      </c>
      <c r="D42" s="40">
        <v>975654</v>
      </c>
      <c r="E42" s="40">
        <v>388</v>
      </c>
      <c r="F42" s="41">
        <v>39.770000000000003</v>
      </c>
      <c r="G42" s="38" t="s">
        <v>401</v>
      </c>
    </row>
    <row r="43" spans="1:7" x14ac:dyDescent="0.3">
      <c r="A43" s="42">
        <v>25</v>
      </c>
      <c r="B43" s="43" t="s">
        <v>40</v>
      </c>
      <c r="C43" s="43" t="s">
        <v>41</v>
      </c>
      <c r="D43" s="44">
        <v>783381</v>
      </c>
      <c r="E43" s="44">
        <v>305</v>
      </c>
      <c r="F43" s="45">
        <v>38.93</v>
      </c>
      <c r="G43" s="42" t="s">
        <v>402</v>
      </c>
    </row>
    <row r="45" spans="1:7" ht="15.6" customHeight="1" x14ac:dyDescent="0.3">
      <c r="A45" s="34" t="s">
        <v>403</v>
      </c>
    </row>
    <row r="46" spans="1:7" x14ac:dyDescent="0.3">
      <c r="A46" s="119" t="s">
        <v>404</v>
      </c>
      <c r="B46" s="118"/>
      <c r="C46" s="118"/>
      <c r="D46" s="118"/>
      <c r="E46" s="118"/>
      <c r="F46" s="118"/>
      <c r="G46" s="118"/>
    </row>
    <row r="47" spans="1:7" x14ac:dyDescent="0.3">
      <c r="A47" s="119" t="s">
        <v>405</v>
      </c>
      <c r="B47" s="118"/>
      <c r="C47" s="118"/>
      <c r="D47" s="118"/>
      <c r="E47" s="118"/>
      <c r="F47" s="118"/>
      <c r="G47" s="118"/>
    </row>
    <row r="48" spans="1:7" x14ac:dyDescent="0.3">
      <c r="A48" s="119" t="s">
        <v>406</v>
      </c>
      <c r="B48" s="118"/>
      <c r="C48" s="118"/>
      <c r="D48" s="118"/>
      <c r="E48" s="118"/>
      <c r="F48" s="118"/>
      <c r="G48" s="118"/>
    </row>
    <row r="49" spans="1:7" x14ac:dyDescent="0.3">
      <c r="A49" s="119"/>
      <c r="B49" s="118"/>
      <c r="C49" s="118"/>
      <c r="D49" s="118"/>
      <c r="E49" s="118"/>
      <c r="F49" s="118"/>
      <c r="G49" s="118"/>
    </row>
    <row r="50" spans="1:7" x14ac:dyDescent="0.3">
      <c r="A50" s="119" t="s">
        <v>407</v>
      </c>
      <c r="B50" s="118"/>
      <c r="C50" s="118"/>
      <c r="D50" s="118"/>
      <c r="E50" s="118"/>
      <c r="F50" s="118"/>
      <c r="G50" s="118"/>
    </row>
    <row r="51" spans="1:7" x14ac:dyDescent="0.3">
      <c r="A51" s="119" t="s">
        <v>408</v>
      </c>
      <c r="B51" s="118"/>
      <c r="C51" s="118"/>
      <c r="D51" s="118"/>
      <c r="E51" s="118"/>
      <c r="F51" s="118"/>
      <c r="G51" s="118"/>
    </row>
    <row r="52" spans="1:7" x14ac:dyDescent="0.3">
      <c r="A52" s="119" t="s">
        <v>409</v>
      </c>
      <c r="B52" s="118"/>
      <c r="C52" s="118"/>
      <c r="D52" s="118"/>
      <c r="E52" s="118"/>
      <c r="F52" s="118"/>
      <c r="G52" s="118"/>
    </row>
    <row r="53" spans="1:7" x14ac:dyDescent="0.3">
      <c r="A53" s="119" t="s">
        <v>410</v>
      </c>
      <c r="B53" s="118"/>
      <c r="C53" s="118"/>
      <c r="D53" s="118"/>
      <c r="E53" s="118"/>
      <c r="F53" s="118"/>
      <c r="G53" s="118"/>
    </row>
    <row r="54" spans="1:7" x14ac:dyDescent="0.3">
      <c r="A54" s="119" t="s">
        <v>411</v>
      </c>
      <c r="B54" s="118"/>
      <c r="C54" s="118"/>
      <c r="D54" s="118"/>
      <c r="E54" s="118"/>
      <c r="F54" s="118"/>
      <c r="G54" s="118"/>
    </row>
    <row r="55" spans="1:7" x14ac:dyDescent="0.3">
      <c r="A55" s="119"/>
      <c r="B55" s="118"/>
      <c r="C55" s="118"/>
      <c r="D55" s="118"/>
      <c r="E55" s="118"/>
      <c r="F55" s="118"/>
      <c r="G55" s="118"/>
    </row>
    <row r="56" spans="1:7" x14ac:dyDescent="0.3">
      <c r="A56" s="119" t="s">
        <v>412</v>
      </c>
      <c r="B56" s="118"/>
      <c r="C56" s="118"/>
      <c r="D56" s="118"/>
      <c r="E56" s="118"/>
      <c r="F56" s="118"/>
      <c r="G56" s="118"/>
    </row>
    <row r="57" spans="1:7" x14ac:dyDescent="0.3">
      <c r="A57" s="119" t="s">
        <v>413</v>
      </c>
      <c r="B57" s="118"/>
      <c r="C57" s="118"/>
      <c r="D57" s="118"/>
      <c r="E57" s="118"/>
      <c r="F57" s="118"/>
      <c r="G57" s="118"/>
    </row>
    <row r="58" spans="1:7" x14ac:dyDescent="0.3">
      <c r="A58" s="119"/>
      <c r="B58" s="118"/>
      <c r="C58" s="118"/>
      <c r="D58" s="118"/>
      <c r="E58" s="118"/>
      <c r="F58" s="118"/>
      <c r="G58" s="118"/>
    </row>
    <row r="59" spans="1:7" x14ac:dyDescent="0.3">
      <c r="A59" s="119" t="s">
        <v>414</v>
      </c>
      <c r="B59" s="118"/>
      <c r="C59" s="118"/>
      <c r="D59" s="118"/>
      <c r="E59" s="118"/>
      <c r="F59" s="118"/>
      <c r="G59" s="118"/>
    </row>
    <row r="60" spans="1:7" x14ac:dyDescent="0.3">
      <c r="A60" s="119" t="s">
        <v>415</v>
      </c>
      <c r="B60" s="118"/>
      <c r="C60" s="118"/>
      <c r="D60" s="118"/>
      <c r="E60" s="118"/>
      <c r="F60" s="118"/>
      <c r="G60" s="118"/>
    </row>
    <row r="61" spans="1:7" x14ac:dyDescent="0.3">
      <c r="A61" s="119" t="s">
        <v>416</v>
      </c>
      <c r="B61" s="118"/>
      <c r="C61" s="118"/>
      <c r="D61" s="118"/>
      <c r="E61" s="118"/>
      <c r="F61" s="118"/>
      <c r="G61" s="118"/>
    </row>
  </sheetData>
  <mergeCells count="16">
    <mergeCell ref="A47:G47"/>
    <mergeCell ref="A46:G46"/>
    <mergeCell ref="A50:G50"/>
    <mergeCell ref="A49:G49"/>
    <mergeCell ref="A48:G48"/>
    <mergeCell ref="A57:G57"/>
    <mergeCell ref="A54:G54"/>
    <mergeCell ref="A52:G52"/>
    <mergeCell ref="A51:G51"/>
    <mergeCell ref="A61:G61"/>
    <mergeCell ref="A58:G58"/>
    <mergeCell ref="A56:G56"/>
    <mergeCell ref="A53:G53"/>
    <mergeCell ref="A55:G55"/>
    <mergeCell ref="A59:G59"/>
    <mergeCell ref="A60:G6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Y676"/>
  <sheetViews>
    <sheetView showGridLines="0" topLeftCell="U1" workbookViewId="0">
      <pane ySplit="4" topLeftCell="A5" activePane="bottomLeft" state="frozen"/>
      <selection pane="bottomLeft" activeCell="AD11" sqref="AD11"/>
    </sheetView>
  </sheetViews>
  <sheetFormatPr defaultRowHeight="14.4" x14ac:dyDescent="0.3"/>
  <cols>
    <col min="1" max="1" width="8" customWidth="1"/>
    <col min="2" max="2" width="30" customWidth="1"/>
    <col min="3" max="3" width="22" customWidth="1"/>
    <col min="4" max="6" width="14" customWidth="1"/>
    <col min="7" max="7" width="12" customWidth="1"/>
    <col min="8" max="8" width="30" customWidth="1"/>
    <col min="9" max="33" width="13" customWidth="1"/>
  </cols>
  <sheetData>
    <row r="1" spans="1:34" ht="17.399999999999999" customHeight="1" x14ac:dyDescent="0.3">
      <c r="A1" s="1" t="s">
        <v>417</v>
      </c>
    </row>
    <row r="2" spans="1:34" x14ac:dyDescent="0.3">
      <c r="A2" s="94" t="s">
        <v>418</v>
      </c>
    </row>
    <row r="3" spans="1:34" x14ac:dyDescent="0.3">
      <c r="A3" s="120" t="s">
        <v>419</v>
      </c>
      <c r="B3" s="118"/>
      <c r="C3" s="118"/>
      <c r="D3" s="118"/>
      <c r="E3" s="118"/>
      <c r="F3" s="118"/>
      <c r="G3" s="118"/>
      <c r="H3" s="118"/>
    </row>
    <row r="4" spans="1:34" ht="52.05" customHeight="1" x14ac:dyDescent="0.3"/>
    <row r="5" spans="1:34" ht="52.8" customHeight="1" x14ac:dyDescent="0.3">
      <c r="A5" s="6" t="s">
        <v>3</v>
      </c>
      <c r="B5" s="6" t="s">
        <v>4</v>
      </c>
      <c r="C5" s="6" t="s">
        <v>5</v>
      </c>
      <c r="D5" s="6" t="s">
        <v>295</v>
      </c>
      <c r="E5" s="6" t="s">
        <v>398</v>
      </c>
      <c r="F5" s="6" t="s">
        <v>399</v>
      </c>
      <c r="G5" s="6" t="s">
        <v>9</v>
      </c>
      <c r="H5" s="6" t="s">
        <v>420</v>
      </c>
      <c r="I5" s="95" t="s">
        <v>421</v>
      </c>
      <c r="J5" s="95" t="s">
        <v>422</v>
      </c>
      <c r="K5" s="96" t="s">
        <v>423</v>
      </c>
      <c r="L5" s="96" t="s">
        <v>424</v>
      </c>
      <c r="M5" s="96" t="s">
        <v>425</v>
      </c>
      <c r="N5" s="96" t="s">
        <v>426</v>
      </c>
      <c r="O5" s="96" t="s">
        <v>427</v>
      </c>
      <c r="P5" s="96" t="s">
        <v>428</v>
      </c>
      <c r="Q5" s="96" t="s">
        <v>429</v>
      </c>
      <c r="R5" s="96" t="s">
        <v>430</v>
      </c>
      <c r="S5" s="96" t="s">
        <v>431</v>
      </c>
      <c r="T5" s="96" t="s">
        <v>432</v>
      </c>
      <c r="U5" s="96" t="s">
        <v>433</v>
      </c>
      <c r="V5" s="96" t="s">
        <v>434</v>
      </c>
      <c r="W5" s="96" t="s">
        <v>435</v>
      </c>
      <c r="X5" s="96" t="s">
        <v>436</v>
      </c>
      <c r="Y5" s="96" t="s">
        <v>437</v>
      </c>
      <c r="Z5" s="96" t="s">
        <v>438</v>
      </c>
      <c r="AA5" s="96" t="s">
        <v>439</v>
      </c>
      <c r="AB5" s="96" t="s">
        <v>440</v>
      </c>
      <c r="AC5" s="96" t="s">
        <v>441</v>
      </c>
      <c r="AD5" s="96" t="s">
        <v>442</v>
      </c>
      <c r="AE5" s="96" t="s">
        <v>443</v>
      </c>
      <c r="AF5" s="96" t="s">
        <v>444</v>
      </c>
      <c r="AG5" s="96" t="s">
        <v>445</v>
      </c>
      <c r="AH5">
        <v>2025</v>
      </c>
    </row>
    <row r="6" spans="1:34" x14ac:dyDescent="0.3">
      <c r="A6" s="7">
        <v>1</v>
      </c>
      <c r="B6" s="7" t="s">
        <v>10</v>
      </c>
      <c r="C6" s="7" t="s">
        <v>11</v>
      </c>
      <c r="D6" s="8">
        <f>'CDC Source Data'!D31</f>
        <v>568271</v>
      </c>
      <c r="E6" s="8">
        <f>'CDC Source Data'!E31</f>
        <v>498</v>
      </c>
      <c r="F6" s="31" t="str">
        <f t="shared" ref="F6:F69" si="0">IFERROR(E5/D5*100000,"")</f>
        <v/>
      </c>
      <c r="G6" s="9">
        <f>'CDC Source Data'!F31</f>
        <v>0.23</v>
      </c>
      <c r="H6" s="7">
        <f>'CDC Source Data'!G31</f>
        <v>0</v>
      </c>
      <c r="I6" s="97">
        <v>77.7</v>
      </c>
      <c r="J6" s="97">
        <v>81.2</v>
      </c>
      <c r="K6" s="98">
        <v>670</v>
      </c>
      <c r="L6" s="98">
        <v>705</v>
      </c>
      <c r="M6" s="98">
        <v>779</v>
      </c>
      <c r="N6" s="98">
        <v>832</v>
      </c>
      <c r="O6" s="98">
        <v>868</v>
      </c>
      <c r="P6" s="98">
        <v>928</v>
      </c>
      <c r="Q6" s="98">
        <v>909</v>
      </c>
      <c r="R6" s="98">
        <v>877</v>
      </c>
      <c r="S6" s="98">
        <v>860</v>
      </c>
      <c r="T6" s="98">
        <v>789</v>
      </c>
      <c r="U6" s="98">
        <v>755</v>
      </c>
      <c r="V6" s="98">
        <v>787</v>
      </c>
      <c r="W6" s="98">
        <v>775</v>
      </c>
      <c r="X6" s="98">
        <v>821</v>
      </c>
      <c r="Y6" s="98">
        <v>841</v>
      </c>
      <c r="Z6" s="98">
        <v>846</v>
      </c>
      <c r="AA6" s="98">
        <v>833</v>
      </c>
      <c r="AB6" s="98">
        <v>771</v>
      </c>
      <c r="AC6" s="98">
        <v>737</v>
      </c>
      <c r="AD6" s="98">
        <v>635</v>
      </c>
      <c r="AE6" s="98">
        <v>606</v>
      </c>
      <c r="AF6" s="98">
        <v>530</v>
      </c>
      <c r="AG6" s="98">
        <v>498</v>
      </c>
    </row>
    <row r="7" spans="1:34" x14ac:dyDescent="0.3">
      <c r="A7" s="7">
        <v>2</v>
      </c>
      <c r="B7" s="7" t="s">
        <v>249</v>
      </c>
      <c r="C7" s="7" t="s">
        <v>29</v>
      </c>
      <c r="D7" s="8">
        <f>'CDC Source Data'!D495</f>
        <v>157765</v>
      </c>
      <c r="E7" s="8">
        <f>'CDC Source Data'!E495</f>
        <v>104</v>
      </c>
      <c r="F7" s="31">
        <f t="shared" si="0"/>
        <v>87.634244928915962</v>
      </c>
      <c r="G7" s="9">
        <f>'CDC Source Data'!F495</f>
        <v>0.06</v>
      </c>
      <c r="H7" s="7">
        <f>'CDC Source Data'!G495</f>
        <v>0</v>
      </c>
      <c r="I7" s="97">
        <v>35.1</v>
      </c>
      <c r="J7" s="97">
        <v>36.700000000000003</v>
      </c>
      <c r="K7" s="98">
        <v>57</v>
      </c>
      <c r="L7" s="98">
        <v>61</v>
      </c>
      <c r="M7" s="98">
        <v>58</v>
      </c>
      <c r="N7" s="98">
        <v>57</v>
      </c>
      <c r="O7" s="98">
        <v>60</v>
      </c>
      <c r="P7" s="98">
        <v>65</v>
      </c>
      <c r="Q7" s="98">
        <v>73</v>
      </c>
      <c r="R7" s="98">
        <v>82</v>
      </c>
      <c r="S7" s="98">
        <v>82</v>
      </c>
      <c r="T7" s="98">
        <v>76</v>
      </c>
      <c r="U7" s="98">
        <v>82</v>
      </c>
      <c r="V7" s="98">
        <v>76</v>
      </c>
      <c r="W7" s="98">
        <v>80</v>
      </c>
      <c r="X7" s="98">
        <v>87</v>
      </c>
      <c r="Y7" s="98">
        <v>79</v>
      </c>
      <c r="Z7" s="98">
        <v>86</v>
      </c>
      <c r="AA7" s="98">
        <v>76</v>
      </c>
      <c r="AB7" s="98">
        <v>66</v>
      </c>
      <c r="AC7" s="98">
        <v>68</v>
      </c>
      <c r="AD7" s="98">
        <v>63</v>
      </c>
      <c r="AE7" s="98">
        <v>81</v>
      </c>
      <c r="AF7" s="98">
        <v>100</v>
      </c>
      <c r="AG7" s="98">
        <v>104</v>
      </c>
    </row>
    <row r="8" spans="1:34" x14ac:dyDescent="0.3">
      <c r="A8" s="7">
        <v>3</v>
      </c>
      <c r="B8" s="7" t="s">
        <v>229</v>
      </c>
      <c r="C8" s="7" t="s">
        <v>230</v>
      </c>
      <c r="D8" s="8">
        <f>'CDC Source Data'!D533</f>
        <v>279695</v>
      </c>
      <c r="E8" s="8">
        <f>'CDC Source Data'!E533</f>
        <v>180</v>
      </c>
      <c r="F8" s="31">
        <f t="shared" si="0"/>
        <v>65.920831616645017</v>
      </c>
      <c r="G8" s="9">
        <f>'CDC Source Data'!F533</f>
        <v>0</v>
      </c>
      <c r="H8" s="7">
        <f>'CDC Source Data'!G533</f>
        <v>0</v>
      </c>
      <c r="I8" s="97">
        <v>53.3</v>
      </c>
      <c r="J8" s="97">
        <v>55.7</v>
      </c>
      <c r="K8" s="98">
        <v>262</v>
      </c>
      <c r="L8" s="98">
        <v>301</v>
      </c>
      <c r="M8" s="98">
        <v>288</v>
      </c>
      <c r="N8" s="98">
        <v>298</v>
      </c>
      <c r="O8" s="98">
        <v>288</v>
      </c>
      <c r="P8" s="98">
        <v>293</v>
      </c>
      <c r="Q8" s="98">
        <v>298</v>
      </c>
      <c r="R8" s="98">
        <v>284</v>
      </c>
      <c r="S8" s="98">
        <v>300</v>
      </c>
      <c r="T8" s="98">
        <v>279</v>
      </c>
      <c r="U8" s="98">
        <v>308</v>
      </c>
      <c r="V8" s="98">
        <v>311</v>
      </c>
      <c r="W8" s="98">
        <v>331</v>
      </c>
      <c r="X8" s="98">
        <v>342</v>
      </c>
      <c r="Y8" s="98">
        <v>317</v>
      </c>
      <c r="Z8" s="98">
        <v>305</v>
      </c>
      <c r="AA8" s="98">
        <v>264</v>
      </c>
      <c r="AB8" s="98">
        <v>218</v>
      </c>
      <c r="AC8" s="98">
        <v>190</v>
      </c>
      <c r="AD8" s="98">
        <v>182</v>
      </c>
      <c r="AE8" s="98">
        <v>185</v>
      </c>
      <c r="AF8" s="98">
        <v>188</v>
      </c>
      <c r="AG8" s="98">
        <v>180</v>
      </c>
    </row>
    <row r="9" spans="1:34" x14ac:dyDescent="0.3">
      <c r="A9" s="7">
        <v>4</v>
      </c>
      <c r="B9" s="7" t="s">
        <v>231</v>
      </c>
      <c r="C9" s="7" t="s">
        <v>232</v>
      </c>
      <c r="D9" s="8">
        <f>'CDC Source Data'!D20</f>
        <v>289600</v>
      </c>
      <c r="E9" s="8">
        <f>'CDC Source Data'!E20</f>
        <v>184</v>
      </c>
      <c r="F9" s="31">
        <f t="shared" si="0"/>
        <v>64.355816156885169</v>
      </c>
      <c r="G9" s="9">
        <f>'CDC Source Data'!F20</f>
        <v>0</v>
      </c>
      <c r="H9" s="7" t="str">
        <f>'CDC Source Data'!G20</f>
        <v>Completeness of provisional 2019 data under 90% after 6 months.</v>
      </c>
      <c r="I9" s="97">
        <v>24.8</v>
      </c>
      <c r="J9" s="97">
        <v>25.9</v>
      </c>
      <c r="K9" s="98">
        <v>53</v>
      </c>
      <c r="L9" s="98">
        <v>64</v>
      </c>
      <c r="M9" s="98">
        <v>79</v>
      </c>
      <c r="N9" s="98">
        <v>89</v>
      </c>
      <c r="O9" s="98">
        <v>97</v>
      </c>
      <c r="P9" s="98">
        <v>106</v>
      </c>
      <c r="Q9" s="98">
        <v>113</v>
      </c>
      <c r="R9" s="98">
        <v>122</v>
      </c>
      <c r="S9" s="98">
        <v>123</v>
      </c>
      <c r="T9" s="98">
        <v>120</v>
      </c>
      <c r="U9" s="98">
        <v>117</v>
      </c>
      <c r="V9" s="98">
        <v>128</v>
      </c>
      <c r="W9" s="98">
        <v>139</v>
      </c>
      <c r="X9" s="98">
        <v>161</v>
      </c>
      <c r="Y9" s="98">
        <v>182</v>
      </c>
      <c r="Z9" s="98">
        <v>207</v>
      </c>
      <c r="AA9" s="98">
        <v>234</v>
      </c>
      <c r="AB9" s="98">
        <v>234</v>
      </c>
      <c r="AC9" s="98">
        <v>223</v>
      </c>
      <c r="AD9" s="98">
        <v>196</v>
      </c>
      <c r="AE9" s="98">
        <v>177</v>
      </c>
      <c r="AF9" s="98">
        <v>182</v>
      </c>
      <c r="AG9" s="98">
        <v>184</v>
      </c>
    </row>
    <row r="10" spans="1:34" x14ac:dyDescent="0.3">
      <c r="A10" s="7">
        <v>5</v>
      </c>
      <c r="B10" s="7" t="s">
        <v>233</v>
      </c>
      <c r="C10" s="7" t="s">
        <v>15</v>
      </c>
      <c r="D10" s="8">
        <f>'CDC Source Data'!D75</f>
        <v>208334</v>
      </c>
      <c r="E10" s="8">
        <f>'CDC Source Data'!E75</f>
        <v>127</v>
      </c>
      <c r="F10" s="31">
        <f t="shared" si="0"/>
        <v>63.535911602209943</v>
      </c>
      <c r="G10" s="9">
        <f>'CDC Source Data'!F75</f>
        <v>0.09</v>
      </c>
      <c r="H10" s="7">
        <f>'CDC Source Data'!G75</f>
        <v>0</v>
      </c>
      <c r="I10" s="97">
        <v>38.299999999999997</v>
      </c>
      <c r="J10" s="97">
        <v>40</v>
      </c>
      <c r="K10" s="98">
        <v>50</v>
      </c>
      <c r="L10" s="98">
        <v>53</v>
      </c>
      <c r="M10" s="98">
        <v>68</v>
      </c>
      <c r="N10" s="98">
        <v>70</v>
      </c>
      <c r="O10" s="98">
        <v>90</v>
      </c>
      <c r="P10" s="98">
        <v>106</v>
      </c>
      <c r="Q10" s="98">
        <v>103</v>
      </c>
      <c r="R10" s="98">
        <v>120</v>
      </c>
      <c r="S10" s="98">
        <v>119</v>
      </c>
      <c r="T10" s="98">
        <v>115</v>
      </c>
      <c r="U10" s="98">
        <v>114</v>
      </c>
      <c r="V10" s="98">
        <v>111</v>
      </c>
      <c r="W10" s="98">
        <v>114</v>
      </c>
      <c r="X10" s="98">
        <v>130</v>
      </c>
      <c r="Y10" s="98">
        <v>137</v>
      </c>
      <c r="Z10" s="98">
        <v>136</v>
      </c>
      <c r="AA10" s="98">
        <v>141</v>
      </c>
      <c r="AB10" s="98">
        <v>114</v>
      </c>
      <c r="AC10" s="98">
        <v>113</v>
      </c>
      <c r="AD10" s="98">
        <v>114</v>
      </c>
      <c r="AE10" s="98">
        <v>111</v>
      </c>
      <c r="AF10" s="98">
        <v>127</v>
      </c>
      <c r="AG10" s="98">
        <v>127</v>
      </c>
    </row>
    <row r="11" spans="1:34" x14ac:dyDescent="0.3">
      <c r="A11" s="13">
        <v>6</v>
      </c>
      <c r="B11" s="13" t="s">
        <v>12</v>
      </c>
      <c r="C11" s="13" t="s">
        <v>13</v>
      </c>
      <c r="D11" s="14">
        <f>'CDC Source Data'!D523</f>
        <v>555947</v>
      </c>
      <c r="E11" s="14">
        <f>'CDC Source Data'!E523</f>
        <v>322</v>
      </c>
      <c r="F11" s="32">
        <f t="shared" si="0"/>
        <v>60.959804928624237</v>
      </c>
      <c r="G11" s="15">
        <f>'CDC Source Data'!F523</f>
        <v>0.02</v>
      </c>
      <c r="H11" s="13" t="str">
        <f>'CDC Source Data'!G523</f>
        <v>Completeness of provisional 2019 data under 90% after 6 months.</v>
      </c>
      <c r="I11" s="108">
        <v>18.100000000000001</v>
      </c>
      <c r="J11" s="108">
        <v>16.899999999999999</v>
      </c>
      <c r="K11" s="99">
        <v>88</v>
      </c>
      <c r="L11" s="99">
        <v>91</v>
      </c>
      <c r="M11" s="99">
        <v>92</v>
      </c>
      <c r="N11" s="99">
        <v>103</v>
      </c>
      <c r="O11" s="99">
        <v>104</v>
      </c>
      <c r="P11" s="99">
        <v>111</v>
      </c>
      <c r="Q11" s="99">
        <v>155</v>
      </c>
      <c r="R11" s="99">
        <v>184</v>
      </c>
      <c r="S11" s="99">
        <v>214</v>
      </c>
      <c r="T11" s="99">
        <v>230</v>
      </c>
      <c r="U11" s="99">
        <v>213</v>
      </c>
      <c r="V11" s="99">
        <v>216</v>
      </c>
      <c r="W11" s="99">
        <v>219</v>
      </c>
      <c r="X11" s="99">
        <v>224</v>
      </c>
      <c r="Y11" s="99">
        <v>239</v>
      </c>
      <c r="Z11" s="99">
        <v>233</v>
      </c>
      <c r="AA11" s="99">
        <v>255</v>
      </c>
      <c r="AB11" s="99">
        <v>281</v>
      </c>
      <c r="AC11" s="99">
        <v>294</v>
      </c>
      <c r="AD11" s="99">
        <v>316</v>
      </c>
      <c r="AE11" s="99">
        <v>332</v>
      </c>
      <c r="AF11" s="99">
        <v>320</v>
      </c>
      <c r="AG11" s="99">
        <v>322</v>
      </c>
      <c r="AH11" s="112">
        <v>344</v>
      </c>
    </row>
    <row r="12" spans="1:34" x14ac:dyDescent="0.3">
      <c r="A12" s="7">
        <v>7</v>
      </c>
      <c r="B12" s="7" t="s">
        <v>14</v>
      </c>
      <c r="C12" s="7" t="s">
        <v>15</v>
      </c>
      <c r="D12" s="8">
        <f>'CDC Source Data'!D485</f>
        <v>827526</v>
      </c>
      <c r="E12" s="8">
        <f>'CDC Source Data'!E485</f>
        <v>473</v>
      </c>
      <c r="F12" s="31">
        <f t="shared" si="0"/>
        <v>57.919190138628331</v>
      </c>
      <c r="G12" s="9">
        <f>'CDC Source Data'!F485</f>
        <v>0.02</v>
      </c>
      <c r="H12" s="7" t="str">
        <f>'CDC Source Data'!G485</f>
        <v>Completeness of provisional 2019 data under 90% after 6 months.</v>
      </c>
      <c r="I12" s="97">
        <v>33.700000000000003</v>
      </c>
      <c r="J12" s="97">
        <v>35.200000000000003</v>
      </c>
      <c r="K12" s="98">
        <v>437</v>
      </c>
      <c r="L12" s="98">
        <v>519</v>
      </c>
      <c r="M12" s="98">
        <v>565</v>
      </c>
      <c r="N12" s="98">
        <v>547</v>
      </c>
      <c r="O12" s="98">
        <v>590</v>
      </c>
      <c r="P12" s="98">
        <v>550</v>
      </c>
      <c r="Q12" s="98">
        <v>509</v>
      </c>
      <c r="R12" s="98">
        <v>554</v>
      </c>
      <c r="S12" s="98">
        <v>512</v>
      </c>
      <c r="T12" s="98">
        <v>503</v>
      </c>
      <c r="U12" s="98">
        <v>481</v>
      </c>
      <c r="V12" s="98">
        <v>475</v>
      </c>
      <c r="W12" s="98">
        <v>507</v>
      </c>
      <c r="X12" s="98">
        <v>560</v>
      </c>
      <c r="Y12" s="98">
        <v>617</v>
      </c>
      <c r="Z12" s="98">
        <v>618</v>
      </c>
      <c r="AA12" s="98">
        <v>619</v>
      </c>
      <c r="AB12" s="98">
        <v>591</v>
      </c>
      <c r="AC12" s="98">
        <v>528</v>
      </c>
      <c r="AD12" s="98">
        <v>493</v>
      </c>
      <c r="AE12" s="98">
        <v>489</v>
      </c>
      <c r="AF12" s="98">
        <v>464</v>
      </c>
      <c r="AG12" s="98">
        <v>473</v>
      </c>
    </row>
    <row r="13" spans="1:34" x14ac:dyDescent="0.3">
      <c r="A13" s="7">
        <v>8</v>
      </c>
      <c r="B13" s="7" t="s">
        <v>16</v>
      </c>
      <c r="C13" s="7" t="s">
        <v>17</v>
      </c>
      <c r="D13" s="8">
        <f>'CDC Source Data'!D174</f>
        <v>752772</v>
      </c>
      <c r="E13" s="8">
        <f>'CDC Source Data'!E174</f>
        <v>417</v>
      </c>
      <c r="F13" s="31">
        <f t="shared" si="0"/>
        <v>57.15832493480567</v>
      </c>
      <c r="G13" s="9">
        <f>'CDC Source Data'!F174</f>
        <v>0.03</v>
      </c>
      <c r="H13" s="7">
        <f>'CDC Source Data'!G174</f>
        <v>0</v>
      </c>
      <c r="I13" s="97">
        <v>26.1</v>
      </c>
      <c r="J13" s="97">
        <v>27.3</v>
      </c>
      <c r="K13" s="98">
        <v>190</v>
      </c>
      <c r="L13" s="98">
        <v>218</v>
      </c>
      <c r="M13" s="98">
        <v>257</v>
      </c>
      <c r="N13" s="98">
        <v>267</v>
      </c>
      <c r="O13" s="98">
        <v>301</v>
      </c>
      <c r="P13" s="98">
        <v>305</v>
      </c>
      <c r="Q13" s="98">
        <v>320</v>
      </c>
      <c r="R13" s="98">
        <v>346</v>
      </c>
      <c r="S13" s="98">
        <v>355</v>
      </c>
      <c r="T13" s="98">
        <v>356</v>
      </c>
      <c r="U13" s="98">
        <v>340</v>
      </c>
      <c r="V13" s="98">
        <v>373</v>
      </c>
      <c r="W13" s="98">
        <v>377</v>
      </c>
      <c r="X13" s="98">
        <v>404</v>
      </c>
      <c r="Y13" s="98">
        <v>434</v>
      </c>
      <c r="Z13" s="98">
        <v>430</v>
      </c>
      <c r="AA13" s="98">
        <v>442</v>
      </c>
      <c r="AB13" s="98">
        <v>422</v>
      </c>
      <c r="AC13" s="98">
        <v>363</v>
      </c>
      <c r="AD13" s="98">
        <v>352</v>
      </c>
      <c r="AE13" s="98">
        <v>364</v>
      </c>
      <c r="AF13" s="98">
        <v>372</v>
      </c>
      <c r="AG13" s="98">
        <v>417</v>
      </c>
    </row>
    <row r="14" spans="1:34" x14ac:dyDescent="0.3">
      <c r="A14" s="7">
        <v>9</v>
      </c>
      <c r="B14" s="7" t="s">
        <v>18</v>
      </c>
      <c r="C14" s="7" t="s">
        <v>19</v>
      </c>
      <c r="D14" s="8">
        <f>'CDC Source Data'!D436</f>
        <v>1573916</v>
      </c>
      <c r="E14" s="8">
        <f>'CDC Source Data'!E436</f>
        <v>870</v>
      </c>
      <c r="F14" s="31">
        <f t="shared" si="0"/>
        <v>55.395259122284038</v>
      </c>
      <c r="G14" s="9">
        <f>'CDC Source Data'!F436</f>
        <v>1.37</v>
      </c>
      <c r="H14" s="7">
        <f>'CDC Source Data'!G436</f>
        <v>0</v>
      </c>
      <c r="I14" s="97">
        <v>49.6</v>
      </c>
      <c r="J14" s="97">
        <v>51.8</v>
      </c>
      <c r="K14" s="100"/>
      <c r="L14" s="100"/>
      <c r="M14" s="100"/>
      <c r="N14" s="100"/>
      <c r="O14" s="100"/>
      <c r="P14" s="100"/>
      <c r="Q14" s="100"/>
      <c r="R14" s="100"/>
      <c r="S14" s="100"/>
      <c r="T14" s="100"/>
      <c r="U14" s="100"/>
      <c r="V14" s="100"/>
      <c r="W14" s="100"/>
      <c r="X14" s="100"/>
      <c r="Y14" s="100"/>
      <c r="Z14" s="100"/>
      <c r="AA14" s="100"/>
      <c r="AB14" s="100"/>
      <c r="AC14" s="98">
        <v>990</v>
      </c>
      <c r="AD14" s="98">
        <v>937</v>
      </c>
      <c r="AE14" s="98">
        <v>912</v>
      </c>
      <c r="AF14" s="98">
        <v>927</v>
      </c>
      <c r="AG14" s="98">
        <v>870</v>
      </c>
    </row>
    <row r="15" spans="1:34" x14ac:dyDescent="0.3">
      <c r="A15" s="7">
        <v>10</v>
      </c>
      <c r="B15" s="7" t="s">
        <v>20</v>
      </c>
      <c r="C15" s="7" t="s">
        <v>21</v>
      </c>
      <c r="D15" s="8">
        <f>'CDC Source Data'!D389</f>
        <v>795897</v>
      </c>
      <c r="E15" s="8">
        <f>'CDC Source Data'!E389</f>
        <v>423</v>
      </c>
      <c r="F15" s="31">
        <f t="shared" si="0"/>
        <v>55.27613926029089</v>
      </c>
      <c r="G15" s="9">
        <f>'CDC Source Data'!F389</f>
        <v>1.87</v>
      </c>
      <c r="H15" s="7" t="str">
        <f>'CDC Source Data'!G389</f>
        <v>Completeness of provisional 2019 data under 90% after 6 months.</v>
      </c>
      <c r="I15" s="97">
        <v>25.7</v>
      </c>
      <c r="J15" s="97">
        <v>26.8</v>
      </c>
      <c r="K15" s="98">
        <v>205</v>
      </c>
      <c r="L15" s="98">
        <v>219</v>
      </c>
      <c r="M15" s="98">
        <v>237</v>
      </c>
      <c r="N15" s="98">
        <v>250</v>
      </c>
      <c r="O15" s="98">
        <v>258</v>
      </c>
      <c r="P15" s="98">
        <v>307</v>
      </c>
      <c r="Q15" s="98">
        <v>338</v>
      </c>
      <c r="R15" s="98">
        <v>360</v>
      </c>
      <c r="S15" s="98">
        <v>395</v>
      </c>
      <c r="T15" s="98">
        <v>378</v>
      </c>
      <c r="U15" s="98">
        <v>388</v>
      </c>
      <c r="V15" s="98">
        <v>428</v>
      </c>
      <c r="W15" s="98">
        <v>473</v>
      </c>
      <c r="X15" s="98">
        <v>540</v>
      </c>
      <c r="Y15" s="98">
        <v>617</v>
      </c>
      <c r="Z15" s="98">
        <v>637</v>
      </c>
      <c r="AA15" s="98">
        <v>669</v>
      </c>
      <c r="AB15" s="98">
        <v>658</v>
      </c>
      <c r="AC15" s="98">
        <v>557</v>
      </c>
      <c r="AD15" s="98">
        <v>535</v>
      </c>
      <c r="AE15" s="98">
        <v>494</v>
      </c>
      <c r="AF15" s="98">
        <v>468</v>
      </c>
      <c r="AG15" s="98">
        <v>423</v>
      </c>
    </row>
    <row r="16" spans="1:34" x14ac:dyDescent="0.3">
      <c r="A16" s="7">
        <v>11</v>
      </c>
      <c r="B16" s="7" t="s">
        <v>22</v>
      </c>
      <c r="C16" s="7" t="s">
        <v>17</v>
      </c>
      <c r="D16" s="8">
        <f>'CDC Source Data'!D155</f>
        <v>729019</v>
      </c>
      <c r="E16" s="8">
        <f>'CDC Source Data'!E155</f>
        <v>370</v>
      </c>
      <c r="F16" s="31">
        <f t="shared" si="0"/>
        <v>53.147580654280638</v>
      </c>
      <c r="G16" s="9">
        <f>'CDC Source Data'!F155</f>
        <v>0.02</v>
      </c>
      <c r="H16" s="7">
        <f>'CDC Source Data'!G155</f>
        <v>0</v>
      </c>
      <c r="I16" s="97">
        <v>31.6</v>
      </c>
      <c r="J16" s="97">
        <v>33</v>
      </c>
      <c r="K16" s="98">
        <v>199</v>
      </c>
      <c r="L16" s="98">
        <v>246</v>
      </c>
      <c r="M16" s="98">
        <v>281</v>
      </c>
      <c r="N16" s="98">
        <v>302</v>
      </c>
      <c r="O16" s="98">
        <v>319</v>
      </c>
      <c r="P16" s="98">
        <v>341</v>
      </c>
      <c r="Q16" s="98">
        <v>368</v>
      </c>
      <c r="R16" s="98">
        <v>364</v>
      </c>
      <c r="S16" s="98">
        <v>357</v>
      </c>
      <c r="T16" s="98">
        <v>326</v>
      </c>
      <c r="U16" s="98">
        <v>289</v>
      </c>
      <c r="V16" s="98">
        <v>299</v>
      </c>
      <c r="W16" s="98">
        <v>295</v>
      </c>
      <c r="X16" s="98">
        <v>310</v>
      </c>
      <c r="Y16" s="98">
        <v>330</v>
      </c>
      <c r="Z16" s="98">
        <v>355</v>
      </c>
      <c r="AA16" s="98">
        <v>361</v>
      </c>
      <c r="AB16" s="98">
        <v>359</v>
      </c>
      <c r="AC16" s="98">
        <v>347</v>
      </c>
      <c r="AD16" s="98">
        <v>323</v>
      </c>
      <c r="AE16" s="98">
        <v>338</v>
      </c>
      <c r="AF16" s="98">
        <v>363</v>
      </c>
      <c r="AG16" s="98">
        <v>370</v>
      </c>
    </row>
    <row r="17" spans="1:33" x14ac:dyDescent="0.3">
      <c r="A17" s="7">
        <v>12</v>
      </c>
      <c r="B17" s="7" t="s">
        <v>23</v>
      </c>
      <c r="C17" s="7" t="s">
        <v>24</v>
      </c>
      <c r="D17" s="8">
        <f>'CDC Source Data'!D422</f>
        <v>362701</v>
      </c>
      <c r="E17" s="8">
        <f>'CDC Source Data'!E422</f>
        <v>176</v>
      </c>
      <c r="F17" s="31">
        <f t="shared" si="0"/>
        <v>50.753135377815944</v>
      </c>
      <c r="G17" s="9">
        <f>'CDC Source Data'!F422</f>
        <v>0.03</v>
      </c>
      <c r="H17" s="7" t="str">
        <f>'CDC Source Data'!G422</f>
        <v>Completeness of provisional 2019 data under 90% after 6 months.</v>
      </c>
      <c r="I17" s="97">
        <v>36.700000000000003</v>
      </c>
      <c r="J17" s="97">
        <v>38.299999999999997</v>
      </c>
      <c r="K17" s="98">
        <v>191</v>
      </c>
      <c r="L17" s="98">
        <v>228</v>
      </c>
      <c r="M17" s="98">
        <v>256</v>
      </c>
      <c r="N17" s="98">
        <v>283</v>
      </c>
      <c r="O17" s="98">
        <v>310</v>
      </c>
      <c r="P17" s="98">
        <v>341</v>
      </c>
      <c r="Q17" s="98">
        <v>373</v>
      </c>
      <c r="R17" s="98">
        <v>382</v>
      </c>
      <c r="S17" s="98">
        <v>398</v>
      </c>
      <c r="T17" s="98">
        <v>383</v>
      </c>
      <c r="U17" s="98">
        <v>357</v>
      </c>
      <c r="V17" s="98">
        <v>359</v>
      </c>
      <c r="W17" s="98">
        <v>364</v>
      </c>
      <c r="X17" s="98">
        <v>374</v>
      </c>
      <c r="Y17" s="98">
        <v>393</v>
      </c>
      <c r="Z17" s="98">
        <v>377</v>
      </c>
      <c r="AA17" s="98">
        <v>327</v>
      </c>
      <c r="AB17" s="98">
        <v>286</v>
      </c>
      <c r="AC17" s="98">
        <v>236</v>
      </c>
      <c r="AD17" s="98">
        <v>194</v>
      </c>
      <c r="AE17" s="98">
        <v>192</v>
      </c>
      <c r="AF17" s="98">
        <v>178</v>
      </c>
      <c r="AG17" s="98">
        <v>176</v>
      </c>
    </row>
    <row r="18" spans="1:33" x14ac:dyDescent="0.3">
      <c r="A18" s="7">
        <v>13</v>
      </c>
      <c r="B18" s="7" t="s">
        <v>250</v>
      </c>
      <c r="C18" s="7" t="s">
        <v>15</v>
      </c>
      <c r="D18" s="8">
        <f>'CDC Source Data'!D252</f>
        <v>132380</v>
      </c>
      <c r="E18" s="8">
        <f>'CDC Source Data'!E252</f>
        <v>63</v>
      </c>
      <c r="F18" s="31">
        <f t="shared" si="0"/>
        <v>48.52481796300534</v>
      </c>
      <c r="G18" s="9">
        <f>'CDC Source Data'!F252</f>
        <v>0</v>
      </c>
      <c r="H18" s="7">
        <f>'CDC Source Data'!G252</f>
        <v>0</v>
      </c>
      <c r="I18" s="97">
        <v>42.1</v>
      </c>
      <c r="J18" s="97">
        <v>43.9</v>
      </c>
      <c r="K18" s="98">
        <v>37</v>
      </c>
      <c r="L18" s="98">
        <v>41</v>
      </c>
      <c r="M18" s="98">
        <v>35</v>
      </c>
      <c r="N18" s="98">
        <v>41</v>
      </c>
      <c r="O18" s="98">
        <v>43</v>
      </c>
      <c r="P18" s="98">
        <v>46</v>
      </c>
      <c r="Q18" s="98">
        <v>56</v>
      </c>
      <c r="R18" s="98">
        <v>59</v>
      </c>
      <c r="S18" s="98">
        <v>70</v>
      </c>
      <c r="T18" s="98">
        <v>73</v>
      </c>
      <c r="U18" s="98">
        <v>85</v>
      </c>
      <c r="V18" s="98">
        <v>91</v>
      </c>
      <c r="W18" s="98">
        <v>89</v>
      </c>
      <c r="X18" s="98">
        <v>98</v>
      </c>
      <c r="Y18" s="98">
        <v>83</v>
      </c>
      <c r="Z18" s="98">
        <v>76</v>
      </c>
      <c r="AA18" s="98">
        <v>72</v>
      </c>
      <c r="AB18" s="98">
        <v>62</v>
      </c>
      <c r="AC18" s="98">
        <v>53</v>
      </c>
      <c r="AD18" s="98">
        <v>57</v>
      </c>
      <c r="AE18" s="98">
        <v>58</v>
      </c>
      <c r="AF18" s="98">
        <v>55</v>
      </c>
      <c r="AG18" s="98">
        <v>63</v>
      </c>
    </row>
    <row r="19" spans="1:33" x14ac:dyDescent="0.3">
      <c r="A19" s="10">
        <v>14</v>
      </c>
      <c r="B19" s="10" t="s">
        <v>234</v>
      </c>
      <c r="C19" s="10" t="s">
        <v>13</v>
      </c>
      <c r="D19" s="11">
        <f>'CDC Source Data'!D618</f>
        <v>258523</v>
      </c>
      <c r="E19" s="11">
        <f>'CDC Source Data'!E618</f>
        <v>123</v>
      </c>
      <c r="F19" s="33">
        <f t="shared" si="0"/>
        <v>47.590270433600246</v>
      </c>
      <c r="G19" s="12">
        <f>'CDC Source Data'!F618</f>
        <v>0.22</v>
      </c>
      <c r="H19" s="10" t="str">
        <f>'CDC Source Data'!G618</f>
        <v>Completeness of provisional 2019 data under 90% after 6 months.</v>
      </c>
      <c r="I19" s="101">
        <v>16.3</v>
      </c>
      <c r="J19" s="101">
        <v>17</v>
      </c>
      <c r="K19" s="102">
        <v>56</v>
      </c>
      <c r="L19" s="102">
        <v>75</v>
      </c>
      <c r="M19" s="102">
        <v>85</v>
      </c>
      <c r="N19" s="102">
        <v>75</v>
      </c>
      <c r="O19" s="102">
        <v>80</v>
      </c>
      <c r="P19" s="102">
        <v>78</v>
      </c>
      <c r="Q19" s="102">
        <v>86</v>
      </c>
      <c r="R19" s="102">
        <v>96</v>
      </c>
      <c r="S19" s="102">
        <v>92</v>
      </c>
      <c r="T19" s="102">
        <v>84</v>
      </c>
      <c r="U19" s="102">
        <v>70</v>
      </c>
      <c r="V19" s="102">
        <v>81</v>
      </c>
      <c r="W19" s="102">
        <v>85</v>
      </c>
      <c r="X19" s="102">
        <v>93</v>
      </c>
      <c r="Y19" s="102">
        <v>111</v>
      </c>
      <c r="Z19" s="102">
        <v>108</v>
      </c>
      <c r="AA19" s="102">
        <v>117</v>
      </c>
      <c r="AB19" s="102">
        <v>134</v>
      </c>
      <c r="AC19" s="102">
        <v>128</v>
      </c>
      <c r="AD19" s="102">
        <v>148</v>
      </c>
      <c r="AE19" s="102">
        <v>142</v>
      </c>
      <c r="AF19" s="102">
        <v>130</v>
      </c>
      <c r="AG19" s="102">
        <v>123</v>
      </c>
    </row>
    <row r="20" spans="1:33" x14ac:dyDescent="0.3">
      <c r="A20" s="7">
        <v>15</v>
      </c>
      <c r="B20" s="7" t="s">
        <v>235</v>
      </c>
      <c r="C20" s="7" t="s">
        <v>43</v>
      </c>
      <c r="D20" s="8">
        <f>'CDC Source Data'!D372</f>
        <v>226479</v>
      </c>
      <c r="E20" s="8">
        <f>'CDC Source Data'!E372</f>
        <v>107</v>
      </c>
      <c r="F20" s="31">
        <f t="shared" si="0"/>
        <v>47.577971785875917</v>
      </c>
      <c r="G20" s="9">
        <f>'CDC Source Data'!F372</f>
        <v>0.15</v>
      </c>
      <c r="H20" s="7" t="str">
        <f>'CDC Source Data'!G372</f>
        <v>Completeness of provisional 2019 data under 90% after 6 months.</v>
      </c>
      <c r="I20" s="97">
        <v>29.5</v>
      </c>
      <c r="J20" s="97">
        <v>30.8</v>
      </c>
      <c r="K20" s="98">
        <v>45</v>
      </c>
      <c r="L20" s="98">
        <v>47</v>
      </c>
      <c r="M20" s="98">
        <v>49</v>
      </c>
      <c r="N20" s="98">
        <v>56</v>
      </c>
      <c r="O20" s="98">
        <v>62</v>
      </c>
      <c r="P20" s="98">
        <v>56</v>
      </c>
      <c r="Q20" s="98">
        <v>57</v>
      </c>
      <c r="R20" s="98">
        <v>64</v>
      </c>
      <c r="S20" s="98">
        <v>66</v>
      </c>
      <c r="T20" s="98">
        <v>73</v>
      </c>
      <c r="U20" s="98">
        <v>77</v>
      </c>
      <c r="V20" s="98">
        <v>74</v>
      </c>
      <c r="W20" s="98">
        <v>77</v>
      </c>
      <c r="X20" s="98">
        <v>82</v>
      </c>
      <c r="Y20" s="98">
        <v>82</v>
      </c>
      <c r="Z20" s="98">
        <v>83</v>
      </c>
      <c r="AA20" s="98">
        <v>83</v>
      </c>
      <c r="AB20" s="98">
        <v>84</v>
      </c>
      <c r="AC20" s="98">
        <v>92</v>
      </c>
      <c r="AD20" s="98">
        <v>100</v>
      </c>
      <c r="AE20" s="98">
        <v>114</v>
      </c>
      <c r="AF20" s="98">
        <v>113</v>
      </c>
      <c r="AG20" s="98">
        <v>107</v>
      </c>
    </row>
    <row r="21" spans="1:33" x14ac:dyDescent="0.3">
      <c r="A21" s="7">
        <v>16</v>
      </c>
      <c r="B21" s="7" t="s">
        <v>251</v>
      </c>
      <c r="C21" s="7" t="s">
        <v>11</v>
      </c>
      <c r="D21" s="8">
        <f>'CDC Source Data'!D94</f>
        <v>106305</v>
      </c>
      <c r="E21" s="8">
        <f>'CDC Source Data'!E94</f>
        <v>50</v>
      </c>
      <c r="F21" s="31">
        <f t="shared" si="0"/>
        <v>47.244998432525755</v>
      </c>
      <c r="G21" s="9">
        <f>'CDC Source Data'!F94</f>
        <v>0.18</v>
      </c>
      <c r="H21" s="7">
        <f>'CDC Source Data'!G94</f>
        <v>0</v>
      </c>
      <c r="I21" s="97">
        <v>51.1</v>
      </c>
      <c r="J21" s="97">
        <v>53.4</v>
      </c>
      <c r="K21" s="98">
        <v>77</v>
      </c>
      <c r="L21" s="98">
        <v>88</v>
      </c>
      <c r="M21" s="98">
        <v>90</v>
      </c>
      <c r="N21" s="98">
        <v>99</v>
      </c>
      <c r="O21" s="98">
        <v>98</v>
      </c>
      <c r="P21" s="98">
        <v>92</v>
      </c>
      <c r="Q21" s="98">
        <v>93</v>
      </c>
      <c r="R21" s="98">
        <v>88</v>
      </c>
      <c r="S21" s="98">
        <v>99</v>
      </c>
      <c r="T21" s="98">
        <v>109</v>
      </c>
      <c r="U21" s="98">
        <v>97</v>
      </c>
      <c r="V21" s="98">
        <v>95</v>
      </c>
      <c r="W21" s="98">
        <v>78</v>
      </c>
      <c r="X21" s="98">
        <v>60</v>
      </c>
      <c r="Y21" s="98">
        <v>59</v>
      </c>
      <c r="Z21" s="98">
        <v>61</v>
      </c>
      <c r="AA21" s="98">
        <v>58</v>
      </c>
      <c r="AB21" s="98">
        <v>60</v>
      </c>
      <c r="AC21" s="98">
        <v>55</v>
      </c>
      <c r="AD21" s="98">
        <v>44</v>
      </c>
      <c r="AE21" s="98">
        <v>46</v>
      </c>
      <c r="AF21" s="98">
        <v>47</v>
      </c>
      <c r="AG21" s="98">
        <v>50</v>
      </c>
    </row>
    <row r="22" spans="1:33" x14ac:dyDescent="0.3">
      <c r="A22" s="10">
        <v>17</v>
      </c>
      <c r="B22" s="10" t="s">
        <v>25</v>
      </c>
      <c r="C22" s="10" t="s">
        <v>13</v>
      </c>
      <c r="D22" s="11">
        <f>'CDC Source Data'!D438</f>
        <v>941170</v>
      </c>
      <c r="E22" s="11">
        <f>'CDC Source Data'!E438</f>
        <v>435</v>
      </c>
      <c r="F22" s="33">
        <f t="shared" si="0"/>
        <v>47.034476271106719</v>
      </c>
      <c r="G22" s="12">
        <f>'CDC Source Data'!F438</f>
        <v>0.08</v>
      </c>
      <c r="H22" s="10" t="str">
        <f>'CDC Source Data'!G438</f>
        <v>Completeness of provisional 2019 data under 90% after 6 months.</v>
      </c>
      <c r="I22" s="101">
        <v>21.6</v>
      </c>
      <c r="J22" s="101">
        <v>22.6</v>
      </c>
      <c r="K22" s="102">
        <v>152</v>
      </c>
      <c r="L22" s="102">
        <v>189</v>
      </c>
      <c r="M22" s="102">
        <v>219</v>
      </c>
      <c r="N22" s="102">
        <v>248</v>
      </c>
      <c r="O22" s="102">
        <v>269</v>
      </c>
      <c r="P22" s="102">
        <v>299</v>
      </c>
      <c r="Q22" s="102">
        <v>337</v>
      </c>
      <c r="R22" s="102">
        <v>341</v>
      </c>
      <c r="S22" s="102">
        <v>356</v>
      </c>
      <c r="T22" s="102">
        <v>333</v>
      </c>
      <c r="U22" s="102">
        <v>305</v>
      </c>
      <c r="V22" s="102">
        <v>350</v>
      </c>
      <c r="W22" s="102">
        <v>369</v>
      </c>
      <c r="X22" s="102">
        <v>426</v>
      </c>
      <c r="Y22" s="102">
        <v>462</v>
      </c>
      <c r="Z22" s="102">
        <v>458</v>
      </c>
      <c r="AA22" s="102">
        <v>462</v>
      </c>
      <c r="AB22" s="102">
        <v>433</v>
      </c>
      <c r="AC22" s="102">
        <v>397</v>
      </c>
      <c r="AD22" s="102">
        <v>392</v>
      </c>
      <c r="AE22" s="102">
        <v>440</v>
      </c>
      <c r="AF22" s="102">
        <v>437</v>
      </c>
      <c r="AG22" s="102">
        <v>435</v>
      </c>
    </row>
    <row r="23" spans="1:33" x14ac:dyDescent="0.3">
      <c r="A23" s="7">
        <v>18</v>
      </c>
      <c r="B23" s="7" t="s">
        <v>26</v>
      </c>
      <c r="C23" s="7" t="s">
        <v>27</v>
      </c>
      <c r="D23" s="8">
        <f>'CDC Source Data'!D293</f>
        <v>506748</v>
      </c>
      <c r="E23" s="8">
        <f>'CDC Source Data'!E293</f>
        <v>233</v>
      </c>
      <c r="F23" s="31">
        <f t="shared" si="0"/>
        <v>46.219067756090823</v>
      </c>
      <c r="G23" s="9">
        <f>'CDC Source Data'!F293</f>
        <v>0.02</v>
      </c>
      <c r="H23" s="7" t="str">
        <f>'CDC Source Data'!G293</f>
        <v>Completeness of provisional 2019 data under 90% after 6 months.</v>
      </c>
      <c r="I23" s="97">
        <v>45.2</v>
      </c>
      <c r="J23" s="97">
        <v>47.2</v>
      </c>
      <c r="K23" s="98">
        <v>236</v>
      </c>
      <c r="L23" s="98">
        <v>262</v>
      </c>
      <c r="M23" s="98">
        <v>303</v>
      </c>
      <c r="N23" s="98">
        <v>342</v>
      </c>
      <c r="O23" s="98">
        <v>389</v>
      </c>
      <c r="P23" s="98">
        <v>415</v>
      </c>
      <c r="Q23" s="98">
        <v>428</v>
      </c>
      <c r="R23" s="98">
        <v>453</v>
      </c>
      <c r="S23" s="98">
        <v>448</v>
      </c>
      <c r="T23" s="98">
        <v>453</v>
      </c>
      <c r="U23" s="98">
        <v>473</v>
      </c>
      <c r="V23" s="98">
        <v>460</v>
      </c>
      <c r="W23" s="98">
        <v>474</v>
      </c>
      <c r="X23" s="98">
        <v>472</v>
      </c>
      <c r="Y23" s="98">
        <v>438</v>
      </c>
      <c r="Z23" s="98">
        <v>430</v>
      </c>
      <c r="AA23" s="98">
        <v>403</v>
      </c>
      <c r="AB23" s="98">
        <v>363</v>
      </c>
      <c r="AC23" s="98">
        <v>333</v>
      </c>
      <c r="AD23" s="98">
        <v>280</v>
      </c>
      <c r="AE23" s="98">
        <v>260</v>
      </c>
      <c r="AF23" s="98">
        <v>244</v>
      </c>
      <c r="AG23" s="98">
        <v>233</v>
      </c>
    </row>
    <row r="24" spans="1:33" x14ac:dyDescent="0.3">
      <c r="A24" s="7">
        <v>19</v>
      </c>
      <c r="B24" s="7" t="s">
        <v>28</v>
      </c>
      <c r="C24" s="7" t="s">
        <v>29</v>
      </c>
      <c r="D24" s="8">
        <f>'CDC Source Data'!D47</f>
        <v>671747</v>
      </c>
      <c r="E24" s="8">
        <f>'CDC Source Data'!E47</f>
        <v>308</v>
      </c>
      <c r="F24" s="31">
        <f t="shared" si="0"/>
        <v>45.979461191756059</v>
      </c>
      <c r="G24" s="9">
        <f>'CDC Source Data'!F47</f>
        <v>7.0000000000000007E-2</v>
      </c>
      <c r="H24" s="7" t="str">
        <f>'CDC Source Data'!G47</f>
        <v>Completeness of provisional 2019 data under 90% after 6 months.</v>
      </c>
      <c r="I24" s="97">
        <v>40.700000000000003</v>
      </c>
      <c r="J24" s="97">
        <v>42.5</v>
      </c>
      <c r="K24" s="98">
        <v>272</v>
      </c>
      <c r="L24" s="98">
        <v>284</v>
      </c>
      <c r="M24" s="98">
        <v>322</v>
      </c>
      <c r="N24" s="98">
        <v>360</v>
      </c>
      <c r="O24" s="98">
        <v>389</v>
      </c>
      <c r="P24" s="98">
        <v>438</v>
      </c>
      <c r="Q24" s="98">
        <v>464</v>
      </c>
      <c r="R24" s="98">
        <v>472</v>
      </c>
      <c r="S24" s="98">
        <v>486</v>
      </c>
      <c r="T24" s="98">
        <v>455</v>
      </c>
      <c r="U24" s="98">
        <v>405</v>
      </c>
      <c r="V24" s="98">
        <v>427</v>
      </c>
      <c r="W24" s="98">
        <v>401</v>
      </c>
      <c r="X24" s="98">
        <v>395</v>
      </c>
      <c r="Y24" s="98">
        <v>418</v>
      </c>
      <c r="Z24" s="98">
        <v>392</v>
      </c>
      <c r="AA24" s="98">
        <v>396</v>
      </c>
      <c r="AB24" s="98">
        <v>358</v>
      </c>
      <c r="AC24" s="98">
        <v>332</v>
      </c>
      <c r="AD24" s="98">
        <v>315</v>
      </c>
      <c r="AE24" s="98">
        <v>294</v>
      </c>
      <c r="AF24" s="98">
        <v>294</v>
      </c>
      <c r="AG24" s="98">
        <v>308</v>
      </c>
    </row>
    <row r="25" spans="1:33" x14ac:dyDescent="0.3">
      <c r="A25" s="7">
        <v>20</v>
      </c>
      <c r="B25" s="7" t="s">
        <v>252</v>
      </c>
      <c r="C25" s="7" t="s">
        <v>253</v>
      </c>
      <c r="D25" s="8">
        <f>'CDC Source Data'!D277</f>
        <v>173906</v>
      </c>
      <c r="E25" s="8">
        <f>'CDC Source Data'!E277</f>
        <v>78</v>
      </c>
      <c r="F25" s="31">
        <f t="shared" si="0"/>
        <v>45.850595536712483</v>
      </c>
      <c r="G25" s="9">
        <f>'CDC Source Data'!F277</f>
        <v>0.48</v>
      </c>
      <c r="H25" s="7" t="str">
        <f>'CDC Source Data'!G277</f>
        <v>Completeness of provisional 2019 data under 90% after 6 months.</v>
      </c>
      <c r="I25" s="97">
        <v>57.1</v>
      </c>
      <c r="J25" s="97">
        <v>59.6</v>
      </c>
      <c r="K25" s="98">
        <v>142</v>
      </c>
      <c r="L25" s="98">
        <v>157</v>
      </c>
      <c r="M25" s="98">
        <v>161</v>
      </c>
      <c r="N25" s="98">
        <v>182</v>
      </c>
      <c r="O25" s="98">
        <v>197</v>
      </c>
      <c r="P25" s="98">
        <v>207</v>
      </c>
      <c r="Q25" s="98">
        <v>210</v>
      </c>
      <c r="R25" s="98">
        <v>196</v>
      </c>
      <c r="S25" s="98">
        <v>201</v>
      </c>
      <c r="T25" s="98">
        <v>183</v>
      </c>
      <c r="U25" s="98">
        <v>175</v>
      </c>
      <c r="V25" s="98">
        <v>175</v>
      </c>
      <c r="W25" s="98">
        <v>172</v>
      </c>
      <c r="X25" s="98">
        <v>180</v>
      </c>
      <c r="Y25" s="98">
        <v>186</v>
      </c>
      <c r="Z25" s="98">
        <v>192</v>
      </c>
      <c r="AA25" s="98">
        <v>185</v>
      </c>
      <c r="AB25" s="98">
        <v>181</v>
      </c>
      <c r="AC25" s="98">
        <v>151</v>
      </c>
      <c r="AD25" s="98">
        <v>127</v>
      </c>
      <c r="AE25" s="98">
        <v>107</v>
      </c>
      <c r="AF25" s="98">
        <v>83</v>
      </c>
      <c r="AG25" s="98">
        <v>78</v>
      </c>
    </row>
    <row r="26" spans="1:33" x14ac:dyDescent="0.3">
      <c r="A26" s="10">
        <v>21</v>
      </c>
      <c r="B26" s="10" t="s">
        <v>254</v>
      </c>
      <c r="C26" s="10" t="s">
        <v>13</v>
      </c>
      <c r="D26" s="11">
        <f>'CDC Source Data'!D131</f>
        <v>113982</v>
      </c>
      <c r="E26" s="11">
        <f>'CDC Source Data'!E131</f>
        <v>49</v>
      </c>
      <c r="F26" s="33">
        <f t="shared" si="0"/>
        <v>44.851816498568191</v>
      </c>
      <c r="G26" s="12">
        <f>'CDC Source Data'!F131</f>
        <v>0</v>
      </c>
      <c r="H26" s="10" t="str">
        <f>'CDC Source Data'!G131</f>
        <v>Completeness of provisional 2019 data under 90% after 6 months.</v>
      </c>
      <c r="I26" s="101">
        <v>27.1</v>
      </c>
      <c r="J26" s="101">
        <v>28.3</v>
      </c>
      <c r="K26" s="102">
        <v>21</v>
      </c>
      <c r="L26" s="102">
        <v>25</v>
      </c>
      <c r="M26" s="102">
        <v>30</v>
      </c>
      <c r="N26" s="102">
        <v>28</v>
      </c>
      <c r="O26" s="102">
        <v>31</v>
      </c>
      <c r="P26" s="102">
        <v>29</v>
      </c>
      <c r="Q26" s="102">
        <v>24</v>
      </c>
      <c r="R26" s="102">
        <v>31</v>
      </c>
      <c r="S26" s="102">
        <v>37</v>
      </c>
      <c r="T26" s="102">
        <v>41</v>
      </c>
      <c r="U26" s="102">
        <v>41</v>
      </c>
      <c r="V26" s="102">
        <v>39</v>
      </c>
      <c r="W26" s="102">
        <v>38</v>
      </c>
      <c r="X26" s="102">
        <v>36</v>
      </c>
      <c r="Y26" s="102">
        <v>44</v>
      </c>
      <c r="Z26" s="102">
        <v>51</v>
      </c>
      <c r="AA26" s="102">
        <v>58</v>
      </c>
      <c r="AB26" s="102">
        <v>62</v>
      </c>
      <c r="AC26" s="102">
        <v>61</v>
      </c>
      <c r="AD26" s="102">
        <v>54</v>
      </c>
      <c r="AE26" s="102">
        <v>52</v>
      </c>
      <c r="AF26" s="102">
        <v>52</v>
      </c>
      <c r="AG26" s="102">
        <v>49</v>
      </c>
    </row>
    <row r="27" spans="1:33" x14ac:dyDescent="0.3">
      <c r="A27" s="7">
        <v>22</v>
      </c>
      <c r="B27" s="7" t="s">
        <v>30</v>
      </c>
      <c r="C27" s="7" t="s">
        <v>27</v>
      </c>
      <c r="D27" s="8">
        <f>'CDC Source Data'!D144</f>
        <v>729505</v>
      </c>
      <c r="E27" s="8">
        <f>'CDC Source Data'!E144</f>
        <v>308</v>
      </c>
      <c r="F27" s="31">
        <f t="shared" si="0"/>
        <v>42.989243915705984</v>
      </c>
      <c r="G27" s="9">
        <f>'CDC Source Data'!F144</f>
        <v>7.0000000000000007E-2</v>
      </c>
      <c r="H27" s="7" t="str">
        <f>'CDC Source Data'!G144</f>
        <v>Completeness of provisional 2019 data under 90% after 6 months.</v>
      </c>
      <c r="I27" s="97">
        <v>34.799999999999997</v>
      </c>
      <c r="J27" s="97">
        <v>36.299999999999997</v>
      </c>
      <c r="K27" s="98">
        <v>351</v>
      </c>
      <c r="L27" s="98">
        <v>399</v>
      </c>
      <c r="M27" s="98">
        <v>420</v>
      </c>
      <c r="N27" s="98">
        <v>439</v>
      </c>
      <c r="O27" s="98">
        <v>453</v>
      </c>
      <c r="P27" s="98">
        <v>480</v>
      </c>
      <c r="Q27" s="98">
        <v>501</v>
      </c>
      <c r="R27" s="98">
        <v>529</v>
      </c>
      <c r="S27" s="98">
        <v>555</v>
      </c>
      <c r="T27" s="98">
        <v>516</v>
      </c>
      <c r="U27" s="98">
        <v>510</v>
      </c>
      <c r="V27" s="98">
        <v>539</v>
      </c>
      <c r="W27" s="98">
        <v>512</v>
      </c>
      <c r="X27" s="98">
        <v>543</v>
      </c>
      <c r="Y27" s="98">
        <v>563</v>
      </c>
      <c r="Z27" s="98">
        <v>533</v>
      </c>
      <c r="AA27" s="98">
        <v>519</v>
      </c>
      <c r="AB27" s="98">
        <v>485</v>
      </c>
      <c r="AC27" s="98">
        <v>434</v>
      </c>
      <c r="AD27" s="98">
        <v>394</v>
      </c>
      <c r="AE27" s="98">
        <v>370</v>
      </c>
      <c r="AF27" s="98">
        <v>352</v>
      </c>
      <c r="AG27" s="98">
        <v>308</v>
      </c>
    </row>
    <row r="28" spans="1:33" x14ac:dyDescent="0.3">
      <c r="A28" s="7">
        <v>23</v>
      </c>
      <c r="B28" s="7" t="s">
        <v>31</v>
      </c>
      <c r="C28" s="7" t="s">
        <v>32</v>
      </c>
      <c r="D28" s="8">
        <f>'CDC Source Data'!D64</f>
        <v>1384724</v>
      </c>
      <c r="E28" s="8">
        <f>'CDC Source Data'!E64</f>
        <v>582</v>
      </c>
      <c r="F28" s="31">
        <f t="shared" si="0"/>
        <v>42.220409729885333</v>
      </c>
      <c r="G28" s="9">
        <f>'CDC Source Data'!F64</f>
        <v>0.89</v>
      </c>
      <c r="H28" s="7" t="str">
        <f>'CDC Source Data'!G64</f>
        <v>Completeness of provisional 2019 data under 90% after 6 months.</v>
      </c>
      <c r="I28" s="97">
        <v>23.6</v>
      </c>
      <c r="J28" s="97">
        <v>24.7</v>
      </c>
      <c r="K28" s="98">
        <v>432</v>
      </c>
      <c r="L28" s="98">
        <v>457</v>
      </c>
      <c r="M28" s="98">
        <v>524</v>
      </c>
      <c r="N28" s="98">
        <v>558</v>
      </c>
      <c r="O28" s="98">
        <v>625</v>
      </c>
      <c r="P28" s="98">
        <v>702</v>
      </c>
      <c r="Q28" s="98">
        <v>733</v>
      </c>
      <c r="R28" s="98">
        <v>816</v>
      </c>
      <c r="S28" s="98">
        <v>828</v>
      </c>
      <c r="T28" s="98">
        <v>835</v>
      </c>
      <c r="U28" s="98">
        <v>878</v>
      </c>
      <c r="V28" s="98">
        <v>873</v>
      </c>
      <c r="W28" s="98">
        <v>878</v>
      </c>
      <c r="X28" s="98">
        <v>896</v>
      </c>
      <c r="Y28" s="98">
        <v>882</v>
      </c>
      <c r="Z28" s="98">
        <v>874</v>
      </c>
      <c r="AA28" s="98">
        <v>863</v>
      </c>
      <c r="AB28" s="98">
        <v>801</v>
      </c>
      <c r="AC28" s="98">
        <v>757</v>
      </c>
      <c r="AD28" s="98">
        <v>682</v>
      </c>
      <c r="AE28" s="98">
        <v>632</v>
      </c>
      <c r="AF28" s="98">
        <v>594</v>
      </c>
      <c r="AG28" s="98">
        <v>582</v>
      </c>
    </row>
    <row r="29" spans="1:33" x14ac:dyDescent="0.3">
      <c r="A29" s="7">
        <v>24</v>
      </c>
      <c r="B29" s="7" t="s">
        <v>255</v>
      </c>
      <c r="C29" s="7" t="s">
        <v>17</v>
      </c>
      <c r="D29" s="8">
        <f>'CDC Source Data'!D454</f>
        <v>169866</v>
      </c>
      <c r="E29" s="8">
        <f>'CDC Source Data'!E454</f>
        <v>70</v>
      </c>
      <c r="F29" s="31">
        <f t="shared" si="0"/>
        <v>42.030036310484974</v>
      </c>
      <c r="G29" s="9">
        <f>'CDC Source Data'!F454</f>
        <v>0.05</v>
      </c>
      <c r="H29" s="7">
        <f>'CDC Source Data'!G454</f>
        <v>0</v>
      </c>
      <c r="I29" s="97">
        <v>29.8</v>
      </c>
      <c r="J29" s="97">
        <v>31.1</v>
      </c>
      <c r="K29" s="98">
        <v>61</v>
      </c>
      <c r="L29" s="98">
        <v>61</v>
      </c>
      <c r="M29" s="98">
        <v>63</v>
      </c>
      <c r="N29" s="98">
        <v>71</v>
      </c>
      <c r="O29" s="98">
        <v>78</v>
      </c>
      <c r="P29" s="98">
        <v>84</v>
      </c>
      <c r="Q29" s="98">
        <v>69</v>
      </c>
      <c r="R29" s="98">
        <v>71</v>
      </c>
      <c r="S29" s="98">
        <v>64</v>
      </c>
      <c r="T29" s="98">
        <v>65</v>
      </c>
      <c r="U29" s="98">
        <v>78</v>
      </c>
      <c r="V29" s="98">
        <v>79</v>
      </c>
      <c r="W29" s="98">
        <v>80</v>
      </c>
      <c r="X29" s="98">
        <v>79</v>
      </c>
      <c r="Y29" s="98">
        <v>75</v>
      </c>
      <c r="Z29" s="98">
        <v>70</v>
      </c>
      <c r="AA29" s="98">
        <v>64</v>
      </c>
      <c r="AB29" s="98">
        <v>63</v>
      </c>
      <c r="AC29" s="98">
        <v>61</v>
      </c>
      <c r="AD29" s="98">
        <v>60</v>
      </c>
      <c r="AE29" s="98">
        <v>68</v>
      </c>
      <c r="AF29" s="98">
        <v>66</v>
      </c>
      <c r="AG29" s="98">
        <v>70</v>
      </c>
    </row>
    <row r="30" spans="1:33" x14ac:dyDescent="0.3">
      <c r="A30" s="7">
        <v>25</v>
      </c>
      <c r="B30" s="7" t="s">
        <v>236</v>
      </c>
      <c r="C30" s="7" t="s">
        <v>237</v>
      </c>
      <c r="D30" s="8">
        <f>'CDC Source Data'!D28</f>
        <v>279114</v>
      </c>
      <c r="E30" s="8">
        <f>'CDC Source Data'!E28</f>
        <v>111</v>
      </c>
      <c r="F30" s="31">
        <f t="shared" si="0"/>
        <v>41.208952939375742</v>
      </c>
      <c r="G30" s="9">
        <f>'CDC Source Data'!F28</f>
        <v>0.72</v>
      </c>
      <c r="H30" s="7" t="str">
        <f>'CDC Source Data'!G28</f>
        <v>Completeness of provisional 2019 data under 90% after 6 months.</v>
      </c>
      <c r="I30" s="97">
        <v>37.5</v>
      </c>
      <c r="J30" s="97">
        <v>39.200000000000003</v>
      </c>
      <c r="K30" s="98">
        <v>145</v>
      </c>
      <c r="L30" s="98">
        <v>158</v>
      </c>
      <c r="M30" s="98">
        <v>165</v>
      </c>
      <c r="N30" s="98">
        <v>162</v>
      </c>
      <c r="O30" s="98">
        <v>164</v>
      </c>
      <c r="P30" s="98">
        <v>164</v>
      </c>
      <c r="Q30" s="98">
        <v>159</v>
      </c>
      <c r="R30" s="98">
        <v>155</v>
      </c>
      <c r="S30" s="98">
        <v>159</v>
      </c>
      <c r="T30" s="98">
        <v>166</v>
      </c>
      <c r="U30" s="98">
        <v>182</v>
      </c>
      <c r="V30" s="98">
        <v>196</v>
      </c>
      <c r="W30" s="98">
        <v>207</v>
      </c>
      <c r="X30" s="98">
        <v>200</v>
      </c>
      <c r="Y30" s="98">
        <v>182</v>
      </c>
      <c r="Z30" s="98">
        <v>160</v>
      </c>
      <c r="AA30" s="98">
        <v>144</v>
      </c>
      <c r="AB30" s="98">
        <v>142</v>
      </c>
      <c r="AC30" s="98">
        <v>144</v>
      </c>
      <c r="AD30" s="98">
        <v>149</v>
      </c>
      <c r="AE30" s="98">
        <v>138</v>
      </c>
      <c r="AF30" s="98">
        <v>121</v>
      </c>
      <c r="AG30" s="98">
        <v>111</v>
      </c>
    </row>
    <row r="31" spans="1:33" x14ac:dyDescent="0.3">
      <c r="A31" s="7">
        <v>26</v>
      </c>
      <c r="B31" s="7" t="s">
        <v>256</v>
      </c>
      <c r="C31" s="7" t="s">
        <v>257</v>
      </c>
      <c r="D31" s="8">
        <f>'CDC Source Data'!D262</f>
        <v>147002</v>
      </c>
      <c r="E31" s="8">
        <f>'CDC Source Data'!E262</f>
        <v>58</v>
      </c>
      <c r="F31" s="31">
        <f t="shared" si="0"/>
        <v>39.768696661579135</v>
      </c>
      <c r="G31" s="9">
        <f>'CDC Source Data'!F262</f>
        <v>0</v>
      </c>
      <c r="H31" s="7" t="str">
        <f>'CDC Source Data'!G262</f>
        <v>Completeness of provisional 2019 data under 90% after 6 months.</v>
      </c>
      <c r="I31" s="97">
        <v>32.1</v>
      </c>
      <c r="J31" s="97">
        <v>33.5</v>
      </c>
      <c r="K31" s="98">
        <v>35</v>
      </c>
      <c r="L31" s="98">
        <v>56</v>
      </c>
      <c r="M31" s="98">
        <v>68</v>
      </c>
      <c r="N31" s="98">
        <v>75</v>
      </c>
      <c r="O31" s="98">
        <v>82</v>
      </c>
      <c r="P31" s="98">
        <v>77</v>
      </c>
      <c r="Q31" s="98">
        <v>75</v>
      </c>
      <c r="R31" s="98">
        <v>78</v>
      </c>
      <c r="S31" s="98">
        <v>78</v>
      </c>
      <c r="T31" s="98">
        <v>76</v>
      </c>
      <c r="U31" s="98">
        <v>76</v>
      </c>
      <c r="V31" s="98">
        <v>77</v>
      </c>
      <c r="W31" s="98">
        <v>84</v>
      </c>
      <c r="X31" s="98">
        <v>83</v>
      </c>
      <c r="Y31" s="98">
        <v>91</v>
      </c>
      <c r="Z31" s="98">
        <v>84</v>
      </c>
      <c r="AA31" s="98">
        <v>84</v>
      </c>
      <c r="AB31" s="98">
        <v>77</v>
      </c>
      <c r="AC31" s="98">
        <v>63</v>
      </c>
      <c r="AD31" s="98">
        <v>69</v>
      </c>
      <c r="AE31" s="98">
        <v>62</v>
      </c>
      <c r="AF31" s="98">
        <v>62</v>
      </c>
      <c r="AG31" s="98">
        <v>58</v>
      </c>
    </row>
    <row r="32" spans="1:33" x14ac:dyDescent="0.3">
      <c r="A32" s="10">
        <v>27</v>
      </c>
      <c r="B32" s="10" t="s">
        <v>33</v>
      </c>
      <c r="C32" s="10" t="s">
        <v>13</v>
      </c>
      <c r="D32" s="11">
        <f>'CDC Source Data'!D289</f>
        <v>2340211</v>
      </c>
      <c r="E32" s="11">
        <f>'CDC Source Data'!E289</f>
        <v>921</v>
      </c>
      <c r="F32" s="33">
        <f t="shared" si="0"/>
        <v>39.455245506863854</v>
      </c>
      <c r="G32" s="12">
        <f>'CDC Source Data'!F289</f>
        <v>0.05</v>
      </c>
      <c r="H32" s="10" t="str">
        <f>'CDC Source Data'!G289</f>
        <v>Completeness of provisional 2019 data under 90% after 6 months.</v>
      </c>
      <c r="I32" s="101">
        <v>19.2</v>
      </c>
      <c r="J32" s="101">
        <v>20.100000000000001</v>
      </c>
      <c r="K32" s="102">
        <v>428</v>
      </c>
      <c r="L32" s="102">
        <v>486</v>
      </c>
      <c r="M32" s="102">
        <v>486</v>
      </c>
      <c r="N32" s="102">
        <v>495</v>
      </c>
      <c r="O32" s="102">
        <v>525</v>
      </c>
      <c r="P32" s="102">
        <v>573</v>
      </c>
      <c r="Q32" s="102">
        <v>620</v>
      </c>
      <c r="R32" s="102">
        <v>667</v>
      </c>
      <c r="S32" s="102">
        <v>685</v>
      </c>
      <c r="T32" s="102">
        <v>679</v>
      </c>
      <c r="U32" s="102">
        <v>776</v>
      </c>
      <c r="V32" s="102">
        <v>915</v>
      </c>
      <c r="W32" s="103"/>
      <c r="X32" s="103"/>
      <c r="Y32" s="103"/>
      <c r="Z32" s="103"/>
      <c r="AA32" s="103"/>
      <c r="AB32" s="103"/>
      <c r="AC32" s="103"/>
      <c r="AD32" s="102">
        <v>977</v>
      </c>
      <c r="AE32" s="102">
        <v>968</v>
      </c>
      <c r="AF32" s="102">
        <v>940</v>
      </c>
      <c r="AG32" s="102">
        <v>921</v>
      </c>
    </row>
    <row r="33" spans="1:33" x14ac:dyDescent="0.3">
      <c r="A33" s="7">
        <v>28</v>
      </c>
      <c r="B33" s="7" t="s">
        <v>34</v>
      </c>
      <c r="C33" s="7" t="s">
        <v>35</v>
      </c>
      <c r="D33" s="8">
        <f>'CDC Source Data'!D345</f>
        <v>981628</v>
      </c>
      <c r="E33" s="8">
        <f>'CDC Source Data'!E345</f>
        <v>385</v>
      </c>
      <c r="F33" s="31">
        <f t="shared" si="0"/>
        <v>39.355425643243279</v>
      </c>
      <c r="G33" s="9">
        <f>'CDC Source Data'!F345</f>
        <v>0</v>
      </c>
      <c r="H33" s="7" t="str">
        <f>'CDC Source Data'!G345</f>
        <v>Completeness of provisional 2019 data under 90% after 6 months.</v>
      </c>
      <c r="I33" s="97">
        <v>34.5</v>
      </c>
      <c r="J33" s="97">
        <v>36</v>
      </c>
      <c r="K33" s="98">
        <v>408</v>
      </c>
      <c r="L33" s="98">
        <v>505</v>
      </c>
      <c r="M33" s="98">
        <v>543</v>
      </c>
      <c r="N33" s="98">
        <v>597</v>
      </c>
      <c r="O33" s="98">
        <v>635</v>
      </c>
      <c r="P33" s="98">
        <v>657</v>
      </c>
      <c r="Q33" s="98">
        <v>720</v>
      </c>
      <c r="R33" s="98">
        <v>730</v>
      </c>
      <c r="S33" s="98">
        <v>764</v>
      </c>
      <c r="T33" s="98">
        <v>718</v>
      </c>
      <c r="U33" s="98">
        <v>712</v>
      </c>
      <c r="V33" s="98">
        <v>699</v>
      </c>
      <c r="W33" s="98">
        <v>662</v>
      </c>
      <c r="X33" s="98">
        <v>653</v>
      </c>
      <c r="Y33" s="98">
        <v>625</v>
      </c>
      <c r="Z33" s="98">
        <v>581</v>
      </c>
      <c r="AA33" s="98">
        <v>537</v>
      </c>
      <c r="AB33" s="98">
        <v>502</v>
      </c>
      <c r="AC33" s="98">
        <v>445</v>
      </c>
      <c r="AD33" s="98">
        <v>422</v>
      </c>
      <c r="AE33" s="98">
        <v>405</v>
      </c>
      <c r="AF33" s="98">
        <v>388</v>
      </c>
      <c r="AG33" s="98">
        <v>385</v>
      </c>
    </row>
    <row r="34" spans="1:33" x14ac:dyDescent="0.3">
      <c r="A34" s="7">
        <v>29</v>
      </c>
      <c r="B34" s="7" t="s">
        <v>258</v>
      </c>
      <c r="C34" s="7" t="s">
        <v>24</v>
      </c>
      <c r="D34" s="8">
        <f>'CDC Source Data'!D557</f>
        <v>103864</v>
      </c>
      <c r="E34" s="8">
        <f>'CDC Source Data'!E557</f>
        <v>40</v>
      </c>
      <c r="F34" s="31">
        <f t="shared" si="0"/>
        <v>39.220560130721616</v>
      </c>
      <c r="G34" s="9">
        <f>'CDC Source Data'!F557</f>
        <v>0</v>
      </c>
      <c r="H34" s="7">
        <f>'CDC Source Data'!G557</f>
        <v>0</v>
      </c>
      <c r="I34" s="97">
        <v>31.2</v>
      </c>
      <c r="J34" s="97">
        <v>32.6</v>
      </c>
      <c r="K34" s="98">
        <v>45</v>
      </c>
      <c r="L34" s="98">
        <v>49</v>
      </c>
      <c r="M34" s="98">
        <v>51</v>
      </c>
      <c r="N34" s="98">
        <v>45</v>
      </c>
      <c r="O34" s="98">
        <v>48</v>
      </c>
      <c r="P34" s="98">
        <v>43</v>
      </c>
      <c r="Q34" s="98">
        <v>46</v>
      </c>
      <c r="R34" s="98">
        <v>61</v>
      </c>
      <c r="S34" s="98">
        <v>65</v>
      </c>
      <c r="T34" s="98">
        <v>69</v>
      </c>
      <c r="U34" s="98">
        <v>74</v>
      </c>
      <c r="V34" s="98">
        <v>72</v>
      </c>
      <c r="W34" s="98">
        <v>64</v>
      </c>
      <c r="X34" s="98">
        <v>68</v>
      </c>
      <c r="Y34" s="98">
        <v>61</v>
      </c>
      <c r="Z34" s="98">
        <v>57</v>
      </c>
      <c r="AA34" s="98">
        <v>62</v>
      </c>
      <c r="AB34" s="98">
        <v>50</v>
      </c>
      <c r="AC34" s="98">
        <v>41</v>
      </c>
      <c r="AD34" s="98">
        <v>37</v>
      </c>
      <c r="AE34" s="98">
        <v>39</v>
      </c>
      <c r="AF34" s="98">
        <v>38</v>
      </c>
      <c r="AG34" s="98">
        <v>40</v>
      </c>
    </row>
    <row r="35" spans="1:33" x14ac:dyDescent="0.3">
      <c r="A35" s="7">
        <v>30</v>
      </c>
      <c r="B35" s="7" t="s">
        <v>36</v>
      </c>
      <c r="C35" s="7" t="s">
        <v>36</v>
      </c>
      <c r="D35" s="8">
        <f>'CDC Source Data'!D157</f>
        <v>702250</v>
      </c>
      <c r="E35" s="8">
        <f>'CDC Source Data'!E157</f>
        <v>270</v>
      </c>
      <c r="F35" s="31">
        <f t="shared" si="0"/>
        <v>38.511900177154736</v>
      </c>
      <c r="G35" s="9">
        <f>'CDC Source Data'!F157</f>
        <v>0.21</v>
      </c>
      <c r="H35" s="7">
        <f>'CDC Source Data'!G157</f>
        <v>0</v>
      </c>
      <c r="I35" s="97">
        <v>32.299999999999997</v>
      </c>
      <c r="J35" s="97">
        <v>33.700000000000003</v>
      </c>
      <c r="K35" s="98">
        <v>347</v>
      </c>
      <c r="L35" s="98">
        <v>408</v>
      </c>
      <c r="M35" s="98">
        <v>427</v>
      </c>
      <c r="N35" s="98">
        <v>424</v>
      </c>
      <c r="O35" s="98">
        <v>432</v>
      </c>
      <c r="P35" s="98">
        <v>408</v>
      </c>
      <c r="Q35" s="98">
        <v>433</v>
      </c>
      <c r="R35" s="98">
        <v>450</v>
      </c>
      <c r="S35" s="98">
        <v>446</v>
      </c>
      <c r="T35" s="98">
        <v>449</v>
      </c>
      <c r="U35" s="98">
        <v>440</v>
      </c>
      <c r="V35" s="98">
        <v>451</v>
      </c>
      <c r="W35" s="98">
        <v>459</v>
      </c>
      <c r="X35" s="98">
        <v>451</v>
      </c>
      <c r="Y35" s="98">
        <v>443</v>
      </c>
      <c r="Z35" s="98">
        <v>427</v>
      </c>
      <c r="AA35" s="98">
        <v>398</v>
      </c>
      <c r="AB35" s="98">
        <v>380</v>
      </c>
      <c r="AC35" s="98">
        <v>347</v>
      </c>
      <c r="AD35" s="98">
        <v>315</v>
      </c>
      <c r="AE35" s="98">
        <v>314</v>
      </c>
      <c r="AF35" s="98">
        <v>297</v>
      </c>
      <c r="AG35" s="98">
        <v>270</v>
      </c>
    </row>
    <row r="36" spans="1:33" x14ac:dyDescent="0.3">
      <c r="A36" s="7">
        <v>31</v>
      </c>
      <c r="B36" s="7" t="s">
        <v>259</v>
      </c>
      <c r="C36" s="7" t="s">
        <v>43</v>
      </c>
      <c r="D36" s="8">
        <f>'CDC Source Data'!D396</f>
        <v>109516</v>
      </c>
      <c r="E36" s="8">
        <f>'CDC Source Data'!E396</f>
        <v>42</v>
      </c>
      <c r="F36" s="31">
        <f t="shared" si="0"/>
        <v>38.447846208615168</v>
      </c>
      <c r="G36" s="9">
        <f>'CDC Source Data'!F396</f>
        <v>0.49</v>
      </c>
      <c r="H36" s="7" t="str">
        <f>'CDC Source Data'!G396</f>
        <v>Completeness of provisional 2019 data under 90% after 6 months.</v>
      </c>
      <c r="I36" s="97">
        <v>24.9</v>
      </c>
      <c r="J36" s="97">
        <v>26.1</v>
      </c>
      <c r="K36" s="98">
        <v>30</v>
      </c>
      <c r="L36" s="98">
        <v>33</v>
      </c>
      <c r="M36" s="98">
        <v>36</v>
      </c>
      <c r="N36" s="98">
        <v>40</v>
      </c>
      <c r="O36" s="98">
        <v>42</v>
      </c>
      <c r="P36" s="98">
        <v>49</v>
      </c>
      <c r="Q36" s="98">
        <v>52</v>
      </c>
      <c r="R36" s="98">
        <v>51</v>
      </c>
      <c r="S36" s="98">
        <v>57</v>
      </c>
      <c r="T36" s="98">
        <v>50</v>
      </c>
      <c r="U36" s="98">
        <v>43</v>
      </c>
      <c r="V36" s="98">
        <v>47</v>
      </c>
      <c r="W36" s="98">
        <v>47</v>
      </c>
      <c r="X36" s="98">
        <v>53</v>
      </c>
      <c r="Y36" s="98">
        <v>60</v>
      </c>
      <c r="Z36" s="98">
        <v>56</v>
      </c>
      <c r="AA36" s="98">
        <v>52</v>
      </c>
      <c r="AB36" s="98">
        <v>50</v>
      </c>
      <c r="AC36" s="98">
        <v>44</v>
      </c>
      <c r="AD36" s="98">
        <v>41</v>
      </c>
      <c r="AE36" s="98">
        <v>43</v>
      </c>
      <c r="AF36" s="98">
        <v>42</v>
      </c>
      <c r="AG36" s="98">
        <v>42</v>
      </c>
    </row>
    <row r="37" spans="1:33" x14ac:dyDescent="0.3">
      <c r="A37" s="7">
        <v>32</v>
      </c>
      <c r="B37" s="7" t="s">
        <v>260</v>
      </c>
      <c r="C37" s="7" t="s">
        <v>35</v>
      </c>
      <c r="D37" s="8">
        <f>'CDC Source Data'!D336</f>
        <v>134222</v>
      </c>
      <c r="E37" s="8">
        <f>'CDC Source Data'!E336</f>
        <v>51</v>
      </c>
      <c r="F37" s="31">
        <f t="shared" si="0"/>
        <v>38.350560648672335</v>
      </c>
      <c r="G37" s="9">
        <f>'CDC Source Data'!F336</f>
        <v>0</v>
      </c>
      <c r="H37" s="7" t="str">
        <f>'CDC Source Data'!G336</f>
        <v>Completeness of provisional 2019 data under 90% after 6 months.</v>
      </c>
      <c r="I37" s="97">
        <v>37.5</v>
      </c>
      <c r="J37" s="97">
        <v>39.200000000000003</v>
      </c>
      <c r="K37" s="98">
        <v>47</v>
      </c>
      <c r="L37" s="98">
        <v>52</v>
      </c>
      <c r="M37" s="98">
        <v>57</v>
      </c>
      <c r="N37" s="98">
        <v>51</v>
      </c>
      <c r="O37" s="98">
        <v>51</v>
      </c>
      <c r="P37" s="98">
        <v>46</v>
      </c>
      <c r="Q37" s="98">
        <v>49</v>
      </c>
      <c r="R37" s="98">
        <v>55</v>
      </c>
      <c r="S37" s="98">
        <v>60</v>
      </c>
      <c r="T37" s="98">
        <v>68</v>
      </c>
      <c r="U37" s="98">
        <v>71</v>
      </c>
      <c r="V37" s="98">
        <v>81</v>
      </c>
      <c r="W37" s="98">
        <v>73</v>
      </c>
      <c r="X37" s="98">
        <v>73</v>
      </c>
      <c r="Y37" s="98">
        <v>73</v>
      </c>
      <c r="Z37" s="98">
        <v>58</v>
      </c>
      <c r="AA37" s="98">
        <v>67</v>
      </c>
      <c r="AB37" s="98">
        <v>64</v>
      </c>
      <c r="AC37" s="98">
        <v>56</v>
      </c>
      <c r="AD37" s="98">
        <v>55</v>
      </c>
      <c r="AE37" s="98">
        <v>51</v>
      </c>
      <c r="AF37" s="98">
        <v>54</v>
      </c>
      <c r="AG37" s="98">
        <v>51</v>
      </c>
    </row>
    <row r="38" spans="1:33" x14ac:dyDescent="0.3">
      <c r="A38" s="7">
        <v>33</v>
      </c>
      <c r="B38" s="7" t="s">
        <v>261</v>
      </c>
      <c r="C38" s="7" t="s">
        <v>262</v>
      </c>
      <c r="D38" s="8">
        <f>'CDC Source Data'!D491</f>
        <v>194345</v>
      </c>
      <c r="E38" s="8">
        <f>'CDC Source Data'!E491</f>
        <v>73</v>
      </c>
      <c r="F38" s="31">
        <f t="shared" si="0"/>
        <v>37.996751650251078</v>
      </c>
      <c r="G38" s="9">
        <f>'CDC Source Data'!F491</f>
        <v>0.05</v>
      </c>
      <c r="H38" s="7">
        <f>'CDC Source Data'!G491</f>
        <v>0</v>
      </c>
      <c r="I38" s="97">
        <v>19.600000000000001</v>
      </c>
      <c r="J38" s="97">
        <v>20.5</v>
      </c>
      <c r="K38" s="98">
        <v>39</v>
      </c>
      <c r="L38" s="98">
        <v>47</v>
      </c>
      <c r="M38" s="98">
        <v>58</v>
      </c>
      <c r="N38" s="98">
        <v>55</v>
      </c>
      <c r="O38" s="98">
        <v>65</v>
      </c>
      <c r="P38" s="98">
        <v>63</v>
      </c>
      <c r="Q38" s="98">
        <v>60</v>
      </c>
      <c r="R38" s="98">
        <v>71</v>
      </c>
      <c r="S38" s="98">
        <v>66</v>
      </c>
      <c r="T38" s="98">
        <v>63</v>
      </c>
      <c r="U38" s="98">
        <v>64</v>
      </c>
      <c r="V38" s="98">
        <v>65</v>
      </c>
      <c r="W38" s="98">
        <v>70</v>
      </c>
      <c r="X38" s="98">
        <v>83</v>
      </c>
      <c r="Y38" s="98">
        <v>80</v>
      </c>
      <c r="Z38" s="98">
        <v>77</v>
      </c>
      <c r="AA38" s="98">
        <v>64</v>
      </c>
      <c r="AB38" s="98">
        <v>59</v>
      </c>
      <c r="AC38" s="98">
        <v>69</v>
      </c>
      <c r="AD38" s="98">
        <v>70</v>
      </c>
      <c r="AE38" s="98">
        <v>81</v>
      </c>
      <c r="AF38" s="98">
        <v>85</v>
      </c>
      <c r="AG38" s="98">
        <v>73</v>
      </c>
    </row>
    <row r="39" spans="1:33" x14ac:dyDescent="0.3">
      <c r="A39" s="10">
        <v>34</v>
      </c>
      <c r="B39" s="10" t="s">
        <v>263</v>
      </c>
      <c r="C39" s="10" t="s">
        <v>13</v>
      </c>
      <c r="D39" s="11">
        <f>'CDC Source Data'!D514</f>
        <v>132736</v>
      </c>
      <c r="E39" s="11">
        <f>'CDC Source Data'!E514</f>
        <v>49</v>
      </c>
      <c r="F39" s="33">
        <f t="shared" si="0"/>
        <v>37.562067457356761</v>
      </c>
      <c r="G39" s="12">
        <f>'CDC Source Data'!F514</f>
        <v>0</v>
      </c>
      <c r="H39" s="10" t="str">
        <f>'CDC Source Data'!G514</f>
        <v>Completeness of provisional 2019 data under 90% after 6 months.</v>
      </c>
      <c r="I39" s="101">
        <v>22.4</v>
      </c>
      <c r="J39" s="101">
        <v>23.4</v>
      </c>
      <c r="K39" s="102">
        <v>23</v>
      </c>
      <c r="L39" s="102">
        <v>26</v>
      </c>
      <c r="M39" s="102">
        <v>33</v>
      </c>
      <c r="N39" s="102">
        <v>41</v>
      </c>
      <c r="O39" s="102">
        <v>37</v>
      </c>
      <c r="P39" s="102">
        <v>43</v>
      </c>
      <c r="Q39" s="102">
        <v>42</v>
      </c>
      <c r="R39" s="102">
        <v>40</v>
      </c>
      <c r="S39" s="102">
        <v>41</v>
      </c>
      <c r="T39" s="102">
        <v>40</v>
      </c>
      <c r="U39" s="102">
        <v>36</v>
      </c>
      <c r="V39" s="102">
        <v>39</v>
      </c>
      <c r="W39" s="102">
        <v>41</v>
      </c>
      <c r="X39" s="102">
        <v>43</v>
      </c>
      <c r="Y39" s="102">
        <v>50</v>
      </c>
      <c r="Z39" s="102">
        <v>54</v>
      </c>
      <c r="AA39" s="102">
        <v>59</v>
      </c>
      <c r="AB39" s="102">
        <v>50</v>
      </c>
      <c r="AC39" s="102">
        <v>50</v>
      </c>
      <c r="AD39" s="102">
        <v>47</v>
      </c>
      <c r="AE39" s="102">
        <v>44</v>
      </c>
      <c r="AF39" s="102">
        <v>54</v>
      </c>
      <c r="AG39" s="102">
        <v>49</v>
      </c>
    </row>
    <row r="40" spans="1:33" x14ac:dyDescent="0.3">
      <c r="A40" s="7">
        <v>35</v>
      </c>
      <c r="B40" s="7" t="s">
        <v>238</v>
      </c>
      <c r="C40" s="7" t="s">
        <v>239</v>
      </c>
      <c r="D40" s="8">
        <f>'CDC Source Data'!D468</f>
        <v>233655</v>
      </c>
      <c r="E40" s="8">
        <f>'CDC Source Data'!E468</f>
        <v>86</v>
      </c>
      <c r="F40" s="31">
        <f t="shared" si="0"/>
        <v>36.915380906460946</v>
      </c>
      <c r="G40" s="9">
        <f>'CDC Source Data'!F468</f>
        <v>0.28000000000000003</v>
      </c>
      <c r="H40" s="7" t="str">
        <f>'CDC Source Data'!G468</f>
        <v>Completeness of provisional 2019 data under 90% after 6 months.</v>
      </c>
      <c r="I40" s="97">
        <v>34.5</v>
      </c>
      <c r="J40" s="97">
        <v>36.1</v>
      </c>
      <c r="K40" s="98">
        <v>115</v>
      </c>
      <c r="L40" s="98">
        <v>128</v>
      </c>
      <c r="M40" s="98">
        <v>141</v>
      </c>
      <c r="N40" s="98">
        <v>144</v>
      </c>
      <c r="O40" s="98">
        <v>172</v>
      </c>
      <c r="P40" s="98">
        <v>172</v>
      </c>
      <c r="Q40" s="98">
        <v>186</v>
      </c>
      <c r="R40" s="98">
        <v>213</v>
      </c>
      <c r="S40" s="98">
        <v>213</v>
      </c>
      <c r="T40" s="98">
        <v>233</v>
      </c>
      <c r="U40" s="98">
        <v>237</v>
      </c>
      <c r="V40" s="98">
        <v>219</v>
      </c>
      <c r="W40" s="98">
        <v>225</v>
      </c>
      <c r="X40" s="98">
        <v>229</v>
      </c>
      <c r="Y40" s="98">
        <v>225</v>
      </c>
      <c r="Z40" s="98">
        <v>214</v>
      </c>
      <c r="AA40" s="98">
        <v>189</v>
      </c>
      <c r="AB40" s="98">
        <v>160</v>
      </c>
      <c r="AC40" s="98">
        <v>139</v>
      </c>
      <c r="AD40" s="98">
        <v>132</v>
      </c>
      <c r="AE40" s="98">
        <v>108</v>
      </c>
      <c r="AF40" s="98">
        <v>94</v>
      </c>
      <c r="AG40" s="98">
        <v>86</v>
      </c>
    </row>
    <row r="41" spans="1:33" x14ac:dyDescent="0.3">
      <c r="A41" s="7">
        <v>36</v>
      </c>
      <c r="B41" s="7" t="s">
        <v>37</v>
      </c>
      <c r="C41" s="7" t="s">
        <v>38</v>
      </c>
      <c r="D41" s="8">
        <f>'CDC Source Data'!D368</f>
        <v>924740</v>
      </c>
      <c r="E41" s="8">
        <f>'CDC Source Data'!E368</f>
        <v>340</v>
      </c>
      <c r="F41" s="31">
        <f t="shared" si="0"/>
        <v>36.806402602127065</v>
      </c>
      <c r="G41" s="9">
        <f>'CDC Source Data'!F368</f>
        <v>0.19</v>
      </c>
      <c r="H41" s="7">
        <f>'CDC Source Data'!G368</f>
        <v>0</v>
      </c>
      <c r="I41" s="97">
        <v>36.4</v>
      </c>
      <c r="J41" s="97">
        <v>38</v>
      </c>
      <c r="K41" s="98">
        <v>430</v>
      </c>
      <c r="L41" s="98">
        <v>493</v>
      </c>
      <c r="M41" s="98">
        <v>511</v>
      </c>
      <c r="N41" s="98">
        <v>507</v>
      </c>
      <c r="O41" s="98">
        <v>509</v>
      </c>
      <c r="P41" s="98">
        <v>525</v>
      </c>
      <c r="Q41" s="98">
        <v>540</v>
      </c>
      <c r="R41" s="98">
        <v>610</v>
      </c>
      <c r="S41" s="98">
        <v>656</v>
      </c>
      <c r="T41" s="98">
        <v>656</v>
      </c>
      <c r="U41" s="98">
        <v>658</v>
      </c>
      <c r="V41" s="98">
        <v>646</v>
      </c>
      <c r="W41" s="98">
        <v>624</v>
      </c>
      <c r="X41" s="98">
        <v>629</v>
      </c>
      <c r="Y41" s="98">
        <v>648</v>
      </c>
      <c r="Z41" s="98">
        <v>640</v>
      </c>
      <c r="AA41" s="98">
        <v>617</v>
      </c>
      <c r="AB41" s="98">
        <v>561</v>
      </c>
      <c r="AC41" s="98">
        <v>492</v>
      </c>
      <c r="AD41" s="98">
        <v>426</v>
      </c>
      <c r="AE41" s="98">
        <v>397</v>
      </c>
      <c r="AF41" s="98">
        <v>353</v>
      </c>
      <c r="AG41" s="98">
        <v>340</v>
      </c>
    </row>
    <row r="42" spans="1:33" x14ac:dyDescent="0.3">
      <c r="A42" s="10">
        <v>37</v>
      </c>
      <c r="B42" s="10" t="s">
        <v>39</v>
      </c>
      <c r="C42" s="10" t="s">
        <v>13</v>
      </c>
      <c r="D42" s="11">
        <f>'CDC Source Data'!D558</f>
        <v>302912</v>
      </c>
      <c r="E42" s="11">
        <f>'CDC Source Data'!E558</f>
        <v>111</v>
      </c>
      <c r="F42" s="33">
        <f t="shared" si="0"/>
        <v>36.767091290524903</v>
      </c>
      <c r="G42" s="12">
        <f>'CDC Source Data'!F558</f>
        <v>0.18</v>
      </c>
      <c r="H42" s="10" t="str">
        <f>'CDC Source Data'!G558</f>
        <v>Completeness of provisional 2019 data under 90% after 6 months.</v>
      </c>
      <c r="I42" s="101">
        <v>17.2</v>
      </c>
      <c r="J42" s="101">
        <v>18</v>
      </c>
      <c r="K42" s="102">
        <v>33</v>
      </c>
      <c r="L42" s="102">
        <v>41</v>
      </c>
      <c r="M42" s="102">
        <v>41</v>
      </c>
      <c r="N42" s="102">
        <v>50</v>
      </c>
      <c r="O42" s="102">
        <v>61</v>
      </c>
      <c r="P42" s="102">
        <v>64</v>
      </c>
      <c r="Q42" s="102">
        <v>74</v>
      </c>
      <c r="R42" s="102">
        <v>92</v>
      </c>
      <c r="S42" s="102">
        <v>102</v>
      </c>
      <c r="T42" s="102">
        <v>120</v>
      </c>
      <c r="U42" s="102">
        <v>130</v>
      </c>
      <c r="V42" s="102">
        <v>128</v>
      </c>
      <c r="W42" s="102">
        <v>125</v>
      </c>
      <c r="X42" s="102">
        <v>122</v>
      </c>
      <c r="Y42" s="102">
        <v>119</v>
      </c>
      <c r="Z42" s="102">
        <v>120</v>
      </c>
      <c r="AA42" s="102">
        <v>122</v>
      </c>
      <c r="AB42" s="102">
        <v>116</v>
      </c>
      <c r="AC42" s="102">
        <v>123</v>
      </c>
      <c r="AD42" s="102">
        <v>121</v>
      </c>
      <c r="AE42" s="102">
        <v>125</v>
      </c>
      <c r="AF42" s="102">
        <v>120</v>
      </c>
      <c r="AG42" s="102">
        <v>111</v>
      </c>
    </row>
    <row r="43" spans="1:33" x14ac:dyDescent="0.3">
      <c r="A43" s="7">
        <v>38</v>
      </c>
      <c r="B43" s="7" t="s">
        <v>264</v>
      </c>
      <c r="C43" s="7" t="s">
        <v>43</v>
      </c>
      <c r="D43" s="8">
        <f>'CDC Source Data'!D122</f>
        <v>145161</v>
      </c>
      <c r="E43" s="8">
        <f>'CDC Source Data'!E122</f>
        <v>53</v>
      </c>
      <c r="F43" s="31">
        <f t="shared" si="0"/>
        <v>36.644305937037821</v>
      </c>
      <c r="G43" s="9">
        <f>'CDC Source Data'!F122</f>
        <v>0.46</v>
      </c>
      <c r="H43" s="7" t="str">
        <f>'CDC Source Data'!G122</f>
        <v>Completeness of provisional 2019 data under 90% after 6 months.</v>
      </c>
      <c r="I43" s="97">
        <v>19.600000000000001</v>
      </c>
      <c r="J43" s="97">
        <v>20.5</v>
      </c>
      <c r="K43" s="98">
        <v>32</v>
      </c>
      <c r="L43" s="98">
        <v>37</v>
      </c>
      <c r="M43" s="98">
        <v>43</v>
      </c>
      <c r="N43" s="98">
        <v>42</v>
      </c>
      <c r="O43" s="98">
        <v>39</v>
      </c>
      <c r="P43" s="98">
        <v>35</v>
      </c>
      <c r="Q43" s="98">
        <v>36</v>
      </c>
      <c r="R43" s="98">
        <v>41</v>
      </c>
      <c r="S43" s="98">
        <v>44</v>
      </c>
      <c r="T43" s="98">
        <v>48</v>
      </c>
      <c r="U43" s="98">
        <v>46</v>
      </c>
      <c r="V43" s="98">
        <v>38</v>
      </c>
      <c r="W43" s="98">
        <v>35</v>
      </c>
      <c r="X43" s="98">
        <v>34</v>
      </c>
      <c r="Y43" s="98">
        <v>30</v>
      </c>
      <c r="Z43" s="98">
        <v>36</v>
      </c>
      <c r="AA43" s="98">
        <v>36</v>
      </c>
      <c r="AB43" s="98">
        <v>36</v>
      </c>
      <c r="AC43" s="98">
        <v>42</v>
      </c>
      <c r="AD43" s="98">
        <v>46</v>
      </c>
      <c r="AE43" s="98">
        <v>54</v>
      </c>
      <c r="AF43" s="98">
        <v>61</v>
      </c>
      <c r="AG43" s="98">
        <v>53</v>
      </c>
    </row>
    <row r="44" spans="1:33" x14ac:dyDescent="0.3">
      <c r="A44" s="7">
        <v>39</v>
      </c>
      <c r="B44" s="7" t="s">
        <v>40</v>
      </c>
      <c r="C44" s="7" t="s">
        <v>41</v>
      </c>
      <c r="D44" s="8">
        <f>'CDC Source Data'!D265</f>
        <v>793881</v>
      </c>
      <c r="E44" s="8">
        <f>'CDC Source Data'!E265</f>
        <v>286</v>
      </c>
      <c r="F44" s="31">
        <f t="shared" si="0"/>
        <v>36.511184133479375</v>
      </c>
      <c r="G44" s="9">
        <f>'CDC Source Data'!F265</f>
        <v>7.0000000000000007E-2</v>
      </c>
      <c r="H44" s="7">
        <f>'CDC Source Data'!G265</f>
        <v>0</v>
      </c>
      <c r="I44" s="97">
        <v>36.6</v>
      </c>
      <c r="J44" s="97">
        <v>38.200000000000003</v>
      </c>
      <c r="K44" s="98">
        <v>352</v>
      </c>
      <c r="L44" s="98">
        <v>424</v>
      </c>
      <c r="M44" s="98">
        <v>480</v>
      </c>
      <c r="N44" s="98">
        <v>529</v>
      </c>
      <c r="O44" s="98">
        <v>560</v>
      </c>
      <c r="P44" s="98">
        <v>558</v>
      </c>
      <c r="Q44" s="98">
        <v>565</v>
      </c>
      <c r="R44" s="98">
        <v>585</v>
      </c>
      <c r="S44" s="98">
        <v>571</v>
      </c>
      <c r="T44" s="98">
        <v>556</v>
      </c>
      <c r="U44" s="98">
        <v>547</v>
      </c>
      <c r="V44" s="98">
        <v>524</v>
      </c>
      <c r="W44" s="98">
        <v>538</v>
      </c>
      <c r="X44" s="98">
        <v>535</v>
      </c>
      <c r="Y44" s="98">
        <v>515</v>
      </c>
      <c r="Z44" s="98">
        <v>506</v>
      </c>
      <c r="AA44" s="98">
        <v>462</v>
      </c>
      <c r="AB44" s="98">
        <v>437</v>
      </c>
      <c r="AC44" s="98">
        <v>394</v>
      </c>
      <c r="AD44" s="98">
        <v>358</v>
      </c>
      <c r="AE44" s="98">
        <v>333</v>
      </c>
      <c r="AF44" s="98">
        <v>305</v>
      </c>
      <c r="AG44" s="98">
        <v>286</v>
      </c>
    </row>
    <row r="45" spans="1:33" x14ac:dyDescent="0.3">
      <c r="A45" s="7">
        <v>40</v>
      </c>
      <c r="B45" s="7" t="s">
        <v>42</v>
      </c>
      <c r="C45" s="7" t="s">
        <v>43</v>
      </c>
      <c r="D45" s="8">
        <f>'CDC Source Data'!D439</f>
        <v>1080149</v>
      </c>
      <c r="E45" s="8">
        <f>'CDC Source Data'!E439</f>
        <v>389</v>
      </c>
      <c r="F45" s="31">
        <f t="shared" si="0"/>
        <v>36.025550428842607</v>
      </c>
      <c r="G45" s="9">
        <f>'CDC Source Data'!F439</f>
        <v>0.04</v>
      </c>
      <c r="H45" s="7">
        <f>'CDC Source Data'!G439</f>
        <v>0</v>
      </c>
      <c r="I45" s="97">
        <v>29.7</v>
      </c>
      <c r="J45" s="97">
        <v>31</v>
      </c>
      <c r="K45" s="98">
        <v>325</v>
      </c>
      <c r="L45" s="98">
        <v>352</v>
      </c>
      <c r="M45" s="98">
        <v>407</v>
      </c>
      <c r="N45" s="98">
        <v>413</v>
      </c>
      <c r="O45" s="98">
        <v>441</v>
      </c>
      <c r="P45" s="98">
        <v>473</v>
      </c>
      <c r="Q45" s="98">
        <v>442</v>
      </c>
      <c r="R45" s="98">
        <v>473</v>
      </c>
      <c r="S45" s="98">
        <v>472</v>
      </c>
      <c r="T45" s="98">
        <v>454</v>
      </c>
      <c r="U45" s="98">
        <v>464</v>
      </c>
      <c r="V45" s="98">
        <v>461</v>
      </c>
      <c r="W45" s="98">
        <v>461</v>
      </c>
      <c r="X45" s="98">
        <v>466</v>
      </c>
      <c r="Y45" s="98">
        <v>487</v>
      </c>
      <c r="Z45" s="98">
        <v>472</v>
      </c>
      <c r="AA45" s="98">
        <v>458</v>
      </c>
      <c r="AB45" s="98">
        <v>434</v>
      </c>
      <c r="AC45" s="98">
        <v>405</v>
      </c>
      <c r="AD45" s="98">
        <v>383</v>
      </c>
      <c r="AE45" s="98">
        <v>397</v>
      </c>
      <c r="AF45" s="98">
        <v>392</v>
      </c>
      <c r="AG45" s="98">
        <v>389</v>
      </c>
    </row>
    <row r="46" spans="1:33" x14ac:dyDescent="0.3">
      <c r="A46" s="7">
        <v>41</v>
      </c>
      <c r="B46" s="7" t="s">
        <v>265</v>
      </c>
      <c r="C46" s="7" t="s">
        <v>47</v>
      </c>
      <c r="D46" s="8">
        <f>'CDC Source Data'!D284</f>
        <v>192690</v>
      </c>
      <c r="E46" s="8">
        <f>'CDC Source Data'!E284</f>
        <v>69</v>
      </c>
      <c r="F46" s="31">
        <f t="shared" si="0"/>
        <v>36.013549982456119</v>
      </c>
      <c r="G46" s="9">
        <f>'CDC Source Data'!F284</f>
        <v>0</v>
      </c>
      <c r="H46" s="7">
        <f>'CDC Source Data'!G284</f>
        <v>0</v>
      </c>
      <c r="I46" s="97">
        <v>27</v>
      </c>
      <c r="J46" s="97">
        <v>28.2</v>
      </c>
      <c r="K46" s="98">
        <v>67</v>
      </c>
      <c r="L46" s="98">
        <v>67</v>
      </c>
      <c r="M46" s="98">
        <v>65</v>
      </c>
      <c r="N46" s="98">
        <v>66</v>
      </c>
      <c r="O46" s="98">
        <v>79</v>
      </c>
      <c r="P46" s="98">
        <v>76</v>
      </c>
      <c r="Q46" s="98">
        <v>73</v>
      </c>
      <c r="R46" s="98">
        <v>98</v>
      </c>
      <c r="S46" s="98">
        <v>95</v>
      </c>
      <c r="T46" s="98">
        <v>105</v>
      </c>
      <c r="U46" s="98">
        <v>115</v>
      </c>
      <c r="V46" s="98">
        <v>95</v>
      </c>
      <c r="W46" s="98">
        <v>101</v>
      </c>
      <c r="X46" s="98">
        <v>98</v>
      </c>
      <c r="Y46" s="98">
        <v>104</v>
      </c>
      <c r="Z46" s="98">
        <v>107</v>
      </c>
      <c r="AA46" s="98">
        <v>102</v>
      </c>
      <c r="AB46" s="98">
        <v>94</v>
      </c>
      <c r="AC46" s="98">
        <v>80</v>
      </c>
      <c r="AD46" s="98">
        <v>76</v>
      </c>
      <c r="AE46" s="98">
        <v>68</v>
      </c>
      <c r="AF46" s="98">
        <v>72</v>
      </c>
      <c r="AG46" s="98">
        <v>69</v>
      </c>
    </row>
    <row r="47" spans="1:33" x14ac:dyDescent="0.3">
      <c r="A47" s="7">
        <v>42</v>
      </c>
      <c r="B47" s="7" t="s">
        <v>44</v>
      </c>
      <c r="C47" s="7" t="s">
        <v>45</v>
      </c>
      <c r="D47" s="8">
        <f>'CDC Source Data'!D591</f>
        <v>507280</v>
      </c>
      <c r="E47" s="8">
        <f>'CDC Source Data'!E591</f>
        <v>180</v>
      </c>
      <c r="F47" s="31">
        <f t="shared" si="0"/>
        <v>35.808812081581813</v>
      </c>
      <c r="G47" s="9">
        <f>'CDC Source Data'!F591</f>
        <v>0.78</v>
      </c>
      <c r="H47" s="7">
        <f>'CDC Source Data'!G591</f>
        <v>0</v>
      </c>
      <c r="I47" s="97">
        <v>30</v>
      </c>
      <c r="J47" s="97">
        <v>31.3</v>
      </c>
      <c r="K47" s="98">
        <v>139</v>
      </c>
      <c r="L47" s="98">
        <v>154</v>
      </c>
      <c r="M47" s="98">
        <v>146</v>
      </c>
      <c r="N47" s="98">
        <v>157</v>
      </c>
      <c r="O47" s="98">
        <v>165</v>
      </c>
      <c r="P47" s="98">
        <v>164</v>
      </c>
      <c r="Q47" s="98">
        <v>173</v>
      </c>
      <c r="R47" s="98">
        <v>188</v>
      </c>
      <c r="S47" s="98">
        <v>182</v>
      </c>
      <c r="T47" s="98">
        <v>188</v>
      </c>
      <c r="U47" s="98">
        <v>203</v>
      </c>
      <c r="V47" s="98">
        <v>210</v>
      </c>
      <c r="W47" s="98">
        <v>247</v>
      </c>
      <c r="X47" s="98">
        <v>253</v>
      </c>
      <c r="Y47" s="98">
        <v>265</v>
      </c>
      <c r="Z47" s="98">
        <v>256</v>
      </c>
      <c r="AA47" s="98">
        <v>233</v>
      </c>
      <c r="AB47" s="98">
        <v>237</v>
      </c>
      <c r="AC47" s="98">
        <v>210</v>
      </c>
      <c r="AD47" s="98">
        <v>197</v>
      </c>
      <c r="AE47" s="98">
        <v>187</v>
      </c>
      <c r="AF47" s="98">
        <v>167</v>
      </c>
      <c r="AG47" s="98">
        <v>180</v>
      </c>
    </row>
    <row r="48" spans="1:33" x14ac:dyDescent="0.3">
      <c r="A48" s="7">
        <v>43</v>
      </c>
      <c r="B48" s="7" t="s">
        <v>266</v>
      </c>
      <c r="C48" s="7" t="s">
        <v>267</v>
      </c>
      <c r="D48" s="8">
        <f>'CDC Source Data'!D509</f>
        <v>177942</v>
      </c>
      <c r="E48" s="8">
        <f>'CDC Source Data'!E509</f>
        <v>63</v>
      </c>
      <c r="F48" s="31">
        <f t="shared" si="0"/>
        <v>35.483362245702565</v>
      </c>
      <c r="G48" s="9">
        <f>'CDC Source Data'!F509</f>
        <v>0.14000000000000001</v>
      </c>
      <c r="H48" s="7">
        <f>'CDC Source Data'!G509</f>
        <v>0</v>
      </c>
      <c r="I48" s="97">
        <v>19.2</v>
      </c>
      <c r="J48" s="97">
        <v>20</v>
      </c>
      <c r="K48" s="98">
        <v>34</v>
      </c>
      <c r="L48" s="98">
        <v>35</v>
      </c>
      <c r="M48" s="98">
        <v>42</v>
      </c>
      <c r="N48" s="98">
        <v>44</v>
      </c>
      <c r="O48" s="98">
        <v>55</v>
      </c>
      <c r="P48" s="98">
        <v>52</v>
      </c>
      <c r="Q48" s="98">
        <v>52</v>
      </c>
      <c r="R48" s="98">
        <v>61</v>
      </c>
      <c r="S48" s="98">
        <v>52</v>
      </c>
      <c r="T48" s="98">
        <v>62</v>
      </c>
      <c r="U48" s="98">
        <v>64</v>
      </c>
      <c r="V48" s="98">
        <v>64</v>
      </c>
      <c r="W48" s="98">
        <v>63</v>
      </c>
      <c r="X48" s="98">
        <v>65</v>
      </c>
      <c r="Y48" s="98">
        <v>57</v>
      </c>
      <c r="Z48" s="98">
        <v>53</v>
      </c>
      <c r="AA48" s="98">
        <v>58</v>
      </c>
      <c r="AB48" s="98">
        <v>49</v>
      </c>
      <c r="AC48" s="98">
        <v>52</v>
      </c>
      <c r="AD48" s="98">
        <v>60</v>
      </c>
      <c r="AE48" s="98">
        <v>59</v>
      </c>
      <c r="AF48" s="98">
        <v>65</v>
      </c>
      <c r="AG48" s="98">
        <v>63</v>
      </c>
    </row>
    <row r="49" spans="1:33" x14ac:dyDescent="0.3">
      <c r="A49" s="7">
        <v>44</v>
      </c>
      <c r="B49" s="7" t="s">
        <v>46</v>
      </c>
      <c r="C49" s="7" t="s">
        <v>47</v>
      </c>
      <c r="D49" s="8">
        <f>'CDC Source Data'!D398</f>
        <v>588093</v>
      </c>
      <c r="E49" s="8">
        <f>'CDC Source Data'!E398</f>
        <v>208</v>
      </c>
      <c r="F49" s="31">
        <f t="shared" si="0"/>
        <v>35.404794820784296</v>
      </c>
      <c r="G49" s="9">
        <f>'CDC Source Data'!F398</f>
        <v>0.04</v>
      </c>
      <c r="H49" s="7" t="str">
        <f>'CDC Source Data'!G398</f>
        <v>Completeness of provisional 2019 data under 90% after 6 months.</v>
      </c>
      <c r="I49" s="97">
        <v>30.8</v>
      </c>
      <c r="J49" s="97">
        <v>32.1</v>
      </c>
      <c r="K49" s="98">
        <v>278</v>
      </c>
      <c r="L49" s="98">
        <v>287</v>
      </c>
      <c r="M49" s="98">
        <v>283</v>
      </c>
      <c r="N49" s="98">
        <v>258</v>
      </c>
      <c r="O49" s="98">
        <v>277</v>
      </c>
      <c r="P49" s="98">
        <v>293</v>
      </c>
      <c r="Q49" s="98">
        <v>287</v>
      </c>
      <c r="R49" s="98">
        <v>312</v>
      </c>
      <c r="S49" s="98">
        <v>314</v>
      </c>
      <c r="T49" s="98">
        <v>318</v>
      </c>
      <c r="U49" s="98">
        <v>325</v>
      </c>
      <c r="V49" s="98">
        <v>324</v>
      </c>
      <c r="W49" s="98">
        <v>326</v>
      </c>
      <c r="X49" s="98">
        <v>303</v>
      </c>
      <c r="Y49" s="98">
        <v>302</v>
      </c>
      <c r="Z49" s="98">
        <v>286</v>
      </c>
      <c r="AA49" s="98">
        <v>259</v>
      </c>
      <c r="AB49" s="98">
        <v>247</v>
      </c>
      <c r="AC49" s="98">
        <v>212</v>
      </c>
      <c r="AD49" s="98">
        <v>201</v>
      </c>
      <c r="AE49" s="98">
        <v>213</v>
      </c>
      <c r="AF49" s="98">
        <v>203</v>
      </c>
      <c r="AG49" s="98">
        <v>208</v>
      </c>
    </row>
    <row r="50" spans="1:33" x14ac:dyDescent="0.3">
      <c r="A50" s="7">
        <v>45</v>
      </c>
      <c r="B50" s="7" t="s">
        <v>48</v>
      </c>
      <c r="C50" s="7" t="s">
        <v>27</v>
      </c>
      <c r="D50" s="8">
        <f>'CDC Source Data'!D511</f>
        <v>910530</v>
      </c>
      <c r="E50" s="8">
        <f>'CDC Source Data'!E511</f>
        <v>322</v>
      </c>
      <c r="F50" s="31">
        <f t="shared" si="0"/>
        <v>35.368555653612603</v>
      </c>
      <c r="G50" s="9">
        <f>'CDC Source Data'!F511</f>
        <v>0.28000000000000003</v>
      </c>
      <c r="H50" s="7" t="str">
        <f>'CDC Source Data'!G511</f>
        <v>Completeness of provisional 2019 data under 90% after 6 months.</v>
      </c>
      <c r="I50" s="97">
        <v>24.6</v>
      </c>
      <c r="J50" s="97">
        <v>25.7</v>
      </c>
      <c r="K50" s="98">
        <v>305</v>
      </c>
      <c r="L50" s="98">
        <v>375</v>
      </c>
      <c r="M50" s="98">
        <v>403</v>
      </c>
      <c r="N50" s="98">
        <v>453</v>
      </c>
      <c r="O50" s="98">
        <v>513</v>
      </c>
      <c r="P50" s="98">
        <v>541</v>
      </c>
      <c r="Q50" s="98">
        <v>570</v>
      </c>
      <c r="R50" s="98">
        <v>558</v>
      </c>
      <c r="S50" s="98">
        <v>562</v>
      </c>
      <c r="T50" s="98">
        <v>541</v>
      </c>
      <c r="U50" s="98">
        <v>551</v>
      </c>
      <c r="V50" s="98">
        <v>585</v>
      </c>
      <c r="W50" s="98">
        <v>589</v>
      </c>
      <c r="X50" s="98">
        <v>582</v>
      </c>
      <c r="Y50" s="98">
        <v>563</v>
      </c>
      <c r="Z50" s="98">
        <v>509</v>
      </c>
      <c r="AA50" s="98">
        <v>456</v>
      </c>
      <c r="AB50" s="98">
        <v>408</v>
      </c>
      <c r="AC50" s="98">
        <v>389</v>
      </c>
      <c r="AD50" s="98">
        <v>354</v>
      </c>
      <c r="AE50" s="98">
        <v>351</v>
      </c>
      <c r="AF50" s="98">
        <v>336</v>
      </c>
      <c r="AG50" s="98">
        <v>322</v>
      </c>
    </row>
    <row r="51" spans="1:33" x14ac:dyDescent="0.3">
      <c r="A51" s="10">
        <v>46</v>
      </c>
      <c r="B51" s="10" t="s">
        <v>268</v>
      </c>
      <c r="C51" s="10" t="s">
        <v>13</v>
      </c>
      <c r="D51" s="11">
        <f>'CDC Source Data'!D210</f>
        <v>104717</v>
      </c>
      <c r="E51" s="11">
        <f>'CDC Source Data'!E210</f>
        <v>37</v>
      </c>
      <c r="F51" s="33">
        <f t="shared" si="0"/>
        <v>35.364018758305605</v>
      </c>
      <c r="G51" s="12">
        <f>'CDC Source Data'!F210</f>
        <v>0</v>
      </c>
      <c r="H51" s="10" t="str">
        <f>'CDC Source Data'!G210</f>
        <v>Completeness of provisional 2019 data under 90% after 6 months.</v>
      </c>
      <c r="I51" s="101">
        <v>18.100000000000001</v>
      </c>
      <c r="J51" s="101">
        <v>18.899999999999999</v>
      </c>
      <c r="K51" s="102">
        <v>12</v>
      </c>
      <c r="L51" s="102">
        <v>14</v>
      </c>
      <c r="M51" s="102">
        <v>14</v>
      </c>
      <c r="N51" s="102">
        <v>18</v>
      </c>
      <c r="O51" s="102">
        <v>26</v>
      </c>
      <c r="P51" s="102">
        <v>23</v>
      </c>
      <c r="Q51" s="102">
        <v>27</v>
      </c>
      <c r="R51" s="102">
        <v>28</v>
      </c>
      <c r="S51" s="102">
        <v>25</v>
      </c>
      <c r="T51" s="102">
        <v>30</v>
      </c>
      <c r="U51" s="102">
        <v>32</v>
      </c>
      <c r="V51" s="102">
        <v>36</v>
      </c>
      <c r="W51" s="102">
        <v>39</v>
      </c>
      <c r="X51" s="102">
        <v>40</v>
      </c>
      <c r="Y51" s="102">
        <v>38</v>
      </c>
      <c r="Z51" s="102">
        <v>36</v>
      </c>
      <c r="AA51" s="102">
        <v>34</v>
      </c>
      <c r="AB51" s="102">
        <v>32</v>
      </c>
      <c r="AC51" s="102">
        <v>32</v>
      </c>
      <c r="AD51" s="102">
        <v>32</v>
      </c>
      <c r="AE51" s="102">
        <v>31</v>
      </c>
      <c r="AF51" s="102">
        <v>34</v>
      </c>
      <c r="AG51" s="102">
        <v>37</v>
      </c>
    </row>
    <row r="52" spans="1:33" x14ac:dyDescent="0.3">
      <c r="A52" s="10">
        <v>47</v>
      </c>
      <c r="B52" s="10" t="s">
        <v>269</v>
      </c>
      <c r="C52" s="10" t="s">
        <v>13</v>
      </c>
      <c r="D52" s="11">
        <f>'CDC Source Data'!D603</f>
        <v>234954</v>
      </c>
      <c r="E52" s="11">
        <f>'CDC Source Data'!E603</f>
        <v>83</v>
      </c>
      <c r="F52" s="33">
        <f t="shared" si="0"/>
        <v>35.333326966968109</v>
      </c>
      <c r="G52" s="12">
        <f>'CDC Source Data'!F603</f>
        <v>0.14000000000000001</v>
      </c>
      <c r="H52" s="10">
        <f>'CDC Source Data'!G603</f>
        <v>0</v>
      </c>
      <c r="I52" s="101">
        <v>13.9</v>
      </c>
      <c r="J52" s="101">
        <v>14.5</v>
      </c>
      <c r="K52" s="102">
        <v>22</v>
      </c>
      <c r="L52" s="102">
        <v>30</v>
      </c>
      <c r="M52" s="102">
        <v>33</v>
      </c>
      <c r="N52" s="102">
        <v>36</v>
      </c>
      <c r="O52" s="102">
        <v>47</v>
      </c>
      <c r="P52" s="102">
        <v>46</v>
      </c>
      <c r="Q52" s="102">
        <v>46</v>
      </c>
      <c r="R52" s="102">
        <v>43</v>
      </c>
      <c r="S52" s="102">
        <v>43</v>
      </c>
      <c r="T52" s="102">
        <v>47</v>
      </c>
      <c r="U52" s="102">
        <v>56</v>
      </c>
      <c r="V52" s="102">
        <v>74</v>
      </c>
      <c r="W52" s="102">
        <v>82</v>
      </c>
      <c r="X52" s="102">
        <v>100</v>
      </c>
      <c r="Y52" s="102">
        <v>109</v>
      </c>
      <c r="Z52" s="102">
        <v>117</v>
      </c>
      <c r="AA52" s="102">
        <v>116</v>
      </c>
      <c r="AB52" s="102">
        <v>117</v>
      </c>
      <c r="AC52" s="102">
        <v>107</v>
      </c>
      <c r="AD52" s="102">
        <v>95</v>
      </c>
      <c r="AE52" s="102">
        <v>89</v>
      </c>
      <c r="AF52" s="102">
        <v>84</v>
      </c>
      <c r="AG52" s="102">
        <v>83</v>
      </c>
    </row>
    <row r="53" spans="1:33" x14ac:dyDescent="0.3">
      <c r="A53" s="7">
        <v>48</v>
      </c>
      <c r="B53" s="7" t="s">
        <v>270</v>
      </c>
      <c r="C53" s="7" t="s">
        <v>27</v>
      </c>
      <c r="D53" s="8">
        <f>'CDC Source Data'!D507</f>
        <v>100184</v>
      </c>
      <c r="E53" s="8">
        <f>'CDC Source Data'!E507</f>
        <v>35</v>
      </c>
      <c r="F53" s="31">
        <f t="shared" si="0"/>
        <v>35.326063825259411</v>
      </c>
      <c r="G53" s="9">
        <f>'CDC Source Data'!F507</f>
        <v>0</v>
      </c>
      <c r="H53" s="7" t="str">
        <f>'CDC Source Data'!G507</f>
        <v>Completeness of provisional 2019 data under 90% after 6 months.</v>
      </c>
      <c r="I53" s="97">
        <v>35</v>
      </c>
      <c r="J53" s="97">
        <v>36.5</v>
      </c>
      <c r="K53" s="98">
        <v>28</v>
      </c>
      <c r="L53" s="98">
        <v>31</v>
      </c>
      <c r="M53" s="98">
        <v>47</v>
      </c>
      <c r="N53" s="98">
        <v>51</v>
      </c>
      <c r="O53" s="98">
        <v>62</v>
      </c>
      <c r="P53" s="98">
        <v>66</v>
      </c>
      <c r="Q53" s="98">
        <v>67</v>
      </c>
      <c r="R53" s="98">
        <v>72</v>
      </c>
      <c r="S53" s="98">
        <v>72</v>
      </c>
      <c r="T53" s="98">
        <v>64</v>
      </c>
      <c r="U53" s="98">
        <v>64</v>
      </c>
      <c r="V53" s="98">
        <v>70</v>
      </c>
      <c r="W53" s="98">
        <v>66</v>
      </c>
      <c r="X53" s="98">
        <v>70</v>
      </c>
      <c r="Y53" s="98">
        <v>64</v>
      </c>
      <c r="Z53" s="98">
        <v>53</v>
      </c>
      <c r="AA53" s="98">
        <v>60</v>
      </c>
      <c r="AB53" s="98">
        <v>60</v>
      </c>
      <c r="AC53" s="98">
        <v>52</v>
      </c>
      <c r="AD53" s="98">
        <v>52</v>
      </c>
      <c r="AE53" s="98">
        <v>41</v>
      </c>
      <c r="AF53" s="98">
        <v>37</v>
      </c>
      <c r="AG53" s="98">
        <v>35</v>
      </c>
    </row>
    <row r="54" spans="1:33" x14ac:dyDescent="0.3">
      <c r="A54" s="7">
        <v>49</v>
      </c>
      <c r="B54" s="7" t="s">
        <v>271</v>
      </c>
      <c r="C54" s="7" t="s">
        <v>232</v>
      </c>
      <c r="D54" s="8">
        <f>'CDC Source Data'!D350</f>
        <v>117613</v>
      </c>
      <c r="E54" s="8">
        <f>'CDC Source Data'!E350</f>
        <v>41</v>
      </c>
      <c r="F54" s="31">
        <f t="shared" si="0"/>
        <v>34.935718278367801</v>
      </c>
      <c r="G54" s="9">
        <f>'CDC Source Data'!F350</f>
        <v>0</v>
      </c>
      <c r="H54" s="7">
        <f>'CDC Source Data'!G350</f>
        <v>0</v>
      </c>
      <c r="I54" s="97">
        <v>23</v>
      </c>
      <c r="J54" s="97">
        <v>24</v>
      </c>
      <c r="K54" s="98">
        <v>17</v>
      </c>
      <c r="L54" s="98">
        <v>20</v>
      </c>
      <c r="M54" s="98">
        <v>21</v>
      </c>
      <c r="N54" s="98">
        <v>23</v>
      </c>
      <c r="O54" s="98">
        <v>31</v>
      </c>
      <c r="P54" s="98">
        <v>33</v>
      </c>
      <c r="Q54" s="98">
        <v>39</v>
      </c>
      <c r="R54" s="98">
        <v>39</v>
      </c>
      <c r="S54" s="98">
        <v>36</v>
      </c>
      <c r="T54" s="98">
        <v>34</v>
      </c>
      <c r="U54" s="98">
        <v>26</v>
      </c>
      <c r="V54" s="98">
        <v>29</v>
      </c>
      <c r="W54" s="98">
        <v>29</v>
      </c>
      <c r="X54" s="98">
        <v>32</v>
      </c>
      <c r="Y54" s="98">
        <v>37</v>
      </c>
      <c r="Z54" s="98">
        <v>40</v>
      </c>
      <c r="AA54" s="98">
        <v>47</v>
      </c>
      <c r="AB54" s="98">
        <v>54</v>
      </c>
      <c r="AC54" s="98">
        <v>56</v>
      </c>
      <c r="AD54" s="98">
        <v>60</v>
      </c>
      <c r="AE54" s="98">
        <v>59</v>
      </c>
      <c r="AF54" s="98">
        <v>48</v>
      </c>
      <c r="AG54" s="98">
        <v>41</v>
      </c>
    </row>
    <row r="55" spans="1:33" x14ac:dyDescent="0.3">
      <c r="A55" s="7">
        <v>50</v>
      </c>
      <c r="B55" s="7" t="s">
        <v>49</v>
      </c>
      <c r="C55" s="7" t="s">
        <v>50</v>
      </c>
      <c r="D55" s="8">
        <f>'CDC Source Data'!D180</f>
        <v>331275</v>
      </c>
      <c r="E55" s="8">
        <f>'CDC Source Data'!E180</f>
        <v>114</v>
      </c>
      <c r="F55" s="31">
        <f t="shared" si="0"/>
        <v>34.860091996633024</v>
      </c>
      <c r="G55" s="9">
        <f>'CDC Source Data'!F180</f>
        <v>0.7</v>
      </c>
      <c r="H55" s="7" t="str">
        <f>'CDC Source Data'!G180</f>
        <v>Completeness of provisional 2019 data under 90% after 6 months.</v>
      </c>
      <c r="I55" s="97">
        <v>24.8</v>
      </c>
      <c r="J55" s="97">
        <v>25.9</v>
      </c>
      <c r="K55" s="98">
        <v>105</v>
      </c>
      <c r="L55" s="98">
        <v>122</v>
      </c>
      <c r="M55" s="98">
        <v>134</v>
      </c>
      <c r="N55" s="98">
        <v>144</v>
      </c>
      <c r="O55" s="98">
        <v>150</v>
      </c>
      <c r="P55" s="98">
        <v>172</v>
      </c>
      <c r="Q55" s="98">
        <v>191</v>
      </c>
      <c r="R55" s="98">
        <v>214</v>
      </c>
      <c r="S55" s="98">
        <v>256</v>
      </c>
      <c r="T55" s="98">
        <v>263</v>
      </c>
      <c r="U55" s="98">
        <v>261</v>
      </c>
      <c r="V55" s="98">
        <v>243</v>
      </c>
      <c r="W55" s="98">
        <v>213</v>
      </c>
      <c r="X55" s="98">
        <v>201</v>
      </c>
      <c r="Y55" s="98">
        <v>195</v>
      </c>
      <c r="Z55" s="98">
        <v>202</v>
      </c>
      <c r="AA55" s="98">
        <v>198</v>
      </c>
      <c r="AB55" s="98">
        <v>180</v>
      </c>
      <c r="AC55" s="98">
        <v>154</v>
      </c>
      <c r="AD55" s="98">
        <v>132</v>
      </c>
      <c r="AE55" s="98">
        <v>108</v>
      </c>
      <c r="AF55" s="98">
        <v>104</v>
      </c>
      <c r="AG55" s="98">
        <v>114</v>
      </c>
    </row>
    <row r="56" spans="1:33" x14ac:dyDescent="0.3">
      <c r="A56" s="10">
        <v>51</v>
      </c>
      <c r="B56" s="10" t="s">
        <v>51</v>
      </c>
      <c r="C56" s="10" t="s">
        <v>13</v>
      </c>
      <c r="D56" s="11">
        <f>'CDC Source Data'!D516</f>
        <v>864113</v>
      </c>
      <c r="E56" s="11">
        <f>'CDC Source Data'!E516</f>
        <v>294</v>
      </c>
      <c r="F56" s="33">
        <f t="shared" si="0"/>
        <v>34.412497170024906</v>
      </c>
      <c r="G56" s="12">
        <f>'CDC Source Data'!F516</f>
        <v>0.25</v>
      </c>
      <c r="H56" s="10" t="str">
        <f>'CDC Source Data'!G516</f>
        <v>Completeness of provisional 2019 data under 90% after 6 months.</v>
      </c>
      <c r="I56" s="101">
        <v>23.6</v>
      </c>
      <c r="J56" s="101">
        <v>24.6</v>
      </c>
      <c r="K56" s="102">
        <v>176</v>
      </c>
      <c r="L56" s="102">
        <v>197</v>
      </c>
      <c r="M56" s="102">
        <v>221</v>
      </c>
      <c r="N56" s="102">
        <v>232</v>
      </c>
      <c r="O56" s="102">
        <v>256</v>
      </c>
      <c r="P56" s="102">
        <v>234</v>
      </c>
      <c r="Q56" s="102">
        <v>242</v>
      </c>
      <c r="R56" s="102">
        <v>237</v>
      </c>
      <c r="S56" s="102">
        <v>230</v>
      </c>
      <c r="T56" s="102">
        <v>240</v>
      </c>
      <c r="U56" s="102">
        <v>248</v>
      </c>
      <c r="V56" s="102">
        <v>268</v>
      </c>
      <c r="W56" s="102">
        <v>287</v>
      </c>
      <c r="X56" s="102">
        <v>311</v>
      </c>
      <c r="Y56" s="102">
        <v>324</v>
      </c>
      <c r="Z56" s="102">
        <v>314</v>
      </c>
      <c r="AA56" s="102">
        <v>322</v>
      </c>
      <c r="AB56" s="102">
        <v>332</v>
      </c>
      <c r="AC56" s="102">
        <v>301</v>
      </c>
      <c r="AD56" s="102">
        <v>296</v>
      </c>
      <c r="AE56" s="102">
        <v>302</v>
      </c>
      <c r="AF56" s="102">
        <v>284</v>
      </c>
      <c r="AG56" s="102">
        <v>294</v>
      </c>
    </row>
    <row r="57" spans="1:33" x14ac:dyDescent="0.3">
      <c r="A57" s="7">
        <v>52</v>
      </c>
      <c r="B57" s="7" t="s">
        <v>446</v>
      </c>
      <c r="C57" s="7" t="s">
        <v>447</v>
      </c>
      <c r="D57" s="8">
        <f>'CDC Source Data'!D563</f>
        <v>200300</v>
      </c>
      <c r="E57" s="8">
        <f>'CDC Source Data'!E563</f>
        <v>68</v>
      </c>
      <c r="F57" s="31">
        <f t="shared" si="0"/>
        <v>34.023327967522768</v>
      </c>
      <c r="G57" s="9">
        <f>'CDC Source Data'!F563</f>
        <v>7.0000000000000007E-2</v>
      </c>
      <c r="H57" s="7">
        <f>'CDC Source Data'!G563</f>
        <v>0</v>
      </c>
      <c r="I57" s="97">
        <v>43.6</v>
      </c>
      <c r="J57" s="97">
        <v>45.5</v>
      </c>
      <c r="K57" s="98">
        <v>89</v>
      </c>
      <c r="L57" s="98">
        <v>102</v>
      </c>
      <c r="M57" s="98">
        <v>109</v>
      </c>
      <c r="N57" s="98">
        <v>129</v>
      </c>
      <c r="O57" s="98">
        <v>149</v>
      </c>
      <c r="P57" s="98">
        <v>139</v>
      </c>
      <c r="Q57" s="98">
        <v>142</v>
      </c>
      <c r="R57" s="98">
        <v>126</v>
      </c>
      <c r="S57" s="98">
        <v>115</v>
      </c>
      <c r="T57" s="98">
        <v>115</v>
      </c>
      <c r="U57" s="98">
        <v>111</v>
      </c>
      <c r="V57" s="98">
        <v>124</v>
      </c>
      <c r="W57" s="98">
        <v>131</v>
      </c>
      <c r="X57" s="98">
        <v>142</v>
      </c>
      <c r="Y57" s="98">
        <v>139</v>
      </c>
      <c r="Z57" s="98">
        <v>130</v>
      </c>
      <c r="AA57" s="98">
        <v>110</v>
      </c>
      <c r="AB57" s="98">
        <v>89</v>
      </c>
      <c r="AC57" s="98">
        <v>84</v>
      </c>
      <c r="AD57" s="98">
        <v>73</v>
      </c>
      <c r="AE57" s="98">
        <v>74</v>
      </c>
      <c r="AF57" s="98">
        <v>71</v>
      </c>
      <c r="AG57" s="98">
        <v>68</v>
      </c>
    </row>
    <row r="58" spans="1:33" x14ac:dyDescent="0.3">
      <c r="A58" s="10">
        <v>53</v>
      </c>
      <c r="B58" s="10" t="s">
        <v>448</v>
      </c>
      <c r="C58" s="10" t="s">
        <v>13</v>
      </c>
      <c r="D58" s="11">
        <f>'CDC Source Data'!D41</f>
        <v>218190</v>
      </c>
      <c r="E58" s="11">
        <f>'CDC Source Data'!E41</f>
        <v>74</v>
      </c>
      <c r="F58" s="33">
        <f t="shared" si="0"/>
        <v>33.949076385421868</v>
      </c>
      <c r="G58" s="12">
        <f>'CDC Source Data'!F41</f>
        <v>0.06</v>
      </c>
      <c r="H58" s="10" t="str">
        <f>'CDC Source Data'!G41</f>
        <v>Completeness of provisional 2019 data under 90% after 6 months.</v>
      </c>
      <c r="I58" s="101">
        <v>16.399999999999999</v>
      </c>
      <c r="J58" s="101">
        <v>17.100000000000001</v>
      </c>
      <c r="K58" s="102">
        <v>40</v>
      </c>
      <c r="L58" s="102">
        <v>42</v>
      </c>
      <c r="M58" s="102">
        <v>41</v>
      </c>
      <c r="N58" s="102">
        <v>48</v>
      </c>
      <c r="O58" s="102">
        <v>45</v>
      </c>
      <c r="P58" s="102">
        <v>46</v>
      </c>
      <c r="Q58" s="102">
        <v>44</v>
      </c>
      <c r="R58" s="102">
        <v>38</v>
      </c>
      <c r="S58" s="102">
        <v>33</v>
      </c>
      <c r="T58" s="102">
        <v>32</v>
      </c>
      <c r="U58" s="102">
        <v>34</v>
      </c>
      <c r="V58" s="102">
        <v>42</v>
      </c>
      <c r="W58" s="102">
        <v>48</v>
      </c>
      <c r="X58" s="102">
        <v>46</v>
      </c>
      <c r="Y58" s="102">
        <v>55</v>
      </c>
      <c r="Z58" s="102">
        <v>61</v>
      </c>
      <c r="AA58" s="102">
        <v>61</v>
      </c>
      <c r="AB58" s="102">
        <v>60</v>
      </c>
      <c r="AC58" s="102">
        <v>54</v>
      </c>
      <c r="AD58" s="102">
        <v>53</v>
      </c>
      <c r="AE58" s="102">
        <v>58</v>
      </c>
      <c r="AF58" s="102">
        <v>68</v>
      </c>
      <c r="AG58" s="102">
        <v>74</v>
      </c>
    </row>
    <row r="59" spans="1:33" x14ac:dyDescent="0.3">
      <c r="A59" s="7">
        <v>54</v>
      </c>
      <c r="B59" s="7" t="s">
        <v>449</v>
      </c>
      <c r="C59" s="7" t="s">
        <v>15</v>
      </c>
      <c r="D59" s="8">
        <f>'CDC Source Data'!D508</f>
        <v>181121</v>
      </c>
      <c r="E59" s="8">
        <f>'CDC Source Data'!E508</f>
        <v>61</v>
      </c>
      <c r="F59" s="31">
        <f t="shared" si="0"/>
        <v>33.915394839360189</v>
      </c>
      <c r="G59" s="9">
        <f>'CDC Source Data'!F508</f>
        <v>0.28999999999999998</v>
      </c>
      <c r="H59" s="7" t="str">
        <f>'CDC Source Data'!G508</f>
        <v>Completeness of provisional 2019 data under 90% after 6 months.</v>
      </c>
      <c r="I59" s="97">
        <v>32.799999999999997</v>
      </c>
      <c r="J59" s="97">
        <v>34.299999999999997</v>
      </c>
      <c r="K59" s="98">
        <v>38</v>
      </c>
      <c r="L59" s="98">
        <v>45</v>
      </c>
      <c r="M59" s="98">
        <v>48</v>
      </c>
      <c r="N59" s="98">
        <v>50</v>
      </c>
      <c r="O59" s="98">
        <v>62</v>
      </c>
      <c r="P59" s="98">
        <v>60</v>
      </c>
      <c r="Q59" s="98">
        <v>66</v>
      </c>
      <c r="R59" s="98">
        <v>75</v>
      </c>
      <c r="S59" s="98">
        <v>62</v>
      </c>
      <c r="T59" s="98">
        <v>64</v>
      </c>
      <c r="U59" s="98">
        <v>69</v>
      </c>
      <c r="V59" s="98">
        <v>66</v>
      </c>
      <c r="W59" s="98">
        <v>85</v>
      </c>
      <c r="X59" s="98">
        <v>90</v>
      </c>
      <c r="Y59" s="98">
        <v>85</v>
      </c>
      <c r="Z59" s="98">
        <v>84</v>
      </c>
      <c r="AA59" s="98">
        <v>80</v>
      </c>
      <c r="AB59" s="98">
        <v>69</v>
      </c>
      <c r="AC59" s="98">
        <v>67</v>
      </c>
      <c r="AD59" s="98">
        <v>64</v>
      </c>
      <c r="AE59" s="98">
        <v>56</v>
      </c>
      <c r="AF59" s="98">
        <v>61</v>
      </c>
      <c r="AG59" s="98">
        <v>61</v>
      </c>
    </row>
    <row r="60" spans="1:33" x14ac:dyDescent="0.3">
      <c r="A60" s="7">
        <v>55</v>
      </c>
      <c r="B60" s="7" t="s">
        <v>450</v>
      </c>
      <c r="C60" s="7" t="s">
        <v>35</v>
      </c>
      <c r="D60" s="8">
        <f>'CDC Source Data'!D153</f>
        <v>112951</v>
      </c>
      <c r="E60" s="8">
        <f>'CDC Source Data'!E153</f>
        <v>38</v>
      </c>
      <c r="F60" s="31">
        <f t="shared" si="0"/>
        <v>33.679142672578003</v>
      </c>
      <c r="G60" s="9">
        <f>'CDC Source Data'!F153</f>
        <v>7.0000000000000007E-2</v>
      </c>
      <c r="H60" s="7" t="str">
        <f>'CDC Source Data'!G153</f>
        <v>Completeness of provisional 2019 data under 90% after 6 months.</v>
      </c>
      <c r="I60" s="97">
        <v>35.1</v>
      </c>
      <c r="J60" s="97">
        <v>36.6</v>
      </c>
      <c r="K60" s="98">
        <v>52</v>
      </c>
      <c r="L60" s="98">
        <v>59</v>
      </c>
      <c r="M60" s="98">
        <v>54</v>
      </c>
      <c r="N60" s="98">
        <v>60</v>
      </c>
      <c r="O60" s="98">
        <v>61</v>
      </c>
      <c r="P60" s="98">
        <v>63</v>
      </c>
      <c r="Q60" s="98">
        <v>84</v>
      </c>
      <c r="R60" s="98">
        <v>90</v>
      </c>
      <c r="S60" s="98">
        <v>87</v>
      </c>
      <c r="T60" s="98">
        <v>79</v>
      </c>
      <c r="U60" s="98">
        <v>71</v>
      </c>
      <c r="V60" s="98">
        <v>64</v>
      </c>
      <c r="W60" s="98">
        <v>68</v>
      </c>
      <c r="X60" s="98">
        <v>64</v>
      </c>
      <c r="Y60" s="98">
        <v>64</v>
      </c>
      <c r="Z60" s="98">
        <v>62</v>
      </c>
      <c r="AA60" s="98">
        <v>58</v>
      </c>
      <c r="AB60" s="98">
        <v>59</v>
      </c>
      <c r="AC60" s="98">
        <v>50</v>
      </c>
      <c r="AD60" s="98">
        <v>49</v>
      </c>
      <c r="AE60" s="98">
        <v>49</v>
      </c>
      <c r="AF60" s="98">
        <v>43</v>
      </c>
      <c r="AG60" s="98">
        <v>38</v>
      </c>
    </row>
    <row r="61" spans="1:33" x14ac:dyDescent="0.3">
      <c r="A61" s="7">
        <v>56</v>
      </c>
      <c r="B61" s="7" t="s">
        <v>451</v>
      </c>
      <c r="C61" s="7" t="s">
        <v>15</v>
      </c>
      <c r="D61" s="8">
        <f>'CDC Source Data'!D288</f>
        <v>922529</v>
      </c>
      <c r="E61" s="8">
        <f>'CDC Source Data'!E288</f>
        <v>310</v>
      </c>
      <c r="F61" s="31">
        <f t="shared" si="0"/>
        <v>33.642907101309419</v>
      </c>
      <c r="G61" s="9">
        <f>'CDC Source Data'!F288</f>
        <v>0.26</v>
      </c>
      <c r="H61" s="7" t="str">
        <f>'CDC Source Data'!G288</f>
        <v>Completeness of provisional 2019 data under 90% after 6 months.</v>
      </c>
      <c r="I61" s="97">
        <v>28.6</v>
      </c>
      <c r="J61" s="97">
        <v>29.8</v>
      </c>
      <c r="K61" s="98">
        <v>264</v>
      </c>
      <c r="L61" s="98">
        <v>305</v>
      </c>
      <c r="M61" s="98">
        <v>339</v>
      </c>
      <c r="N61" s="98">
        <v>361</v>
      </c>
      <c r="O61" s="98">
        <v>417</v>
      </c>
      <c r="P61" s="98">
        <v>449</v>
      </c>
      <c r="Q61" s="98">
        <v>485</v>
      </c>
      <c r="R61" s="98">
        <v>492</v>
      </c>
      <c r="S61" s="98">
        <v>496</v>
      </c>
      <c r="T61" s="98">
        <v>486</v>
      </c>
      <c r="U61" s="98">
        <v>469</v>
      </c>
      <c r="V61" s="98">
        <v>491</v>
      </c>
      <c r="W61" s="98">
        <v>497</v>
      </c>
      <c r="X61" s="98">
        <v>513</v>
      </c>
      <c r="Y61" s="98">
        <v>500</v>
      </c>
      <c r="Z61" s="98">
        <v>500</v>
      </c>
      <c r="AA61" s="98">
        <v>470</v>
      </c>
      <c r="AB61" s="98">
        <v>430</v>
      </c>
      <c r="AC61" s="98">
        <v>413</v>
      </c>
      <c r="AD61" s="98">
        <v>371</v>
      </c>
      <c r="AE61" s="98">
        <v>355</v>
      </c>
      <c r="AF61" s="98">
        <v>334</v>
      </c>
      <c r="AG61" s="98">
        <v>310</v>
      </c>
    </row>
    <row r="62" spans="1:33" x14ac:dyDescent="0.3">
      <c r="A62" s="7">
        <v>57</v>
      </c>
      <c r="B62" s="7" t="s">
        <v>452</v>
      </c>
      <c r="C62" s="7" t="s">
        <v>453</v>
      </c>
      <c r="D62" s="8">
        <f>'CDC Source Data'!D46</f>
        <v>128726</v>
      </c>
      <c r="E62" s="8">
        <f>'CDC Source Data'!E46</f>
        <v>43</v>
      </c>
      <c r="F62" s="31">
        <f t="shared" si="0"/>
        <v>33.603279680096776</v>
      </c>
      <c r="G62" s="9">
        <f>'CDC Source Data'!F46</f>
        <v>0.13</v>
      </c>
      <c r="H62" s="7" t="str">
        <f>'CDC Source Data'!G46</f>
        <v>Completeness of provisional 2019 data under 90% after 6 months.</v>
      </c>
      <c r="I62" s="97">
        <v>29.2</v>
      </c>
      <c r="J62" s="97">
        <v>30.5</v>
      </c>
      <c r="K62" s="98">
        <v>53</v>
      </c>
      <c r="L62" s="98">
        <v>63</v>
      </c>
      <c r="M62" s="98">
        <v>60</v>
      </c>
      <c r="N62" s="98">
        <v>66</v>
      </c>
      <c r="O62" s="98">
        <v>70</v>
      </c>
      <c r="P62" s="98">
        <v>61</v>
      </c>
      <c r="Q62" s="98">
        <v>66</v>
      </c>
      <c r="R62" s="98">
        <v>73</v>
      </c>
      <c r="S62" s="98">
        <v>68</v>
      </c>
      <c r="T62" s="98">
        <v>66</v>
      </c>
      <c r="U62" s="98">
        <v>58</v>
      </c>
      <c r="V62" s="98">
        <v>50</v>
      </c>
      <c r="W62" s="98">
        <v>51</v>
      </c>
      <c r="X62" s="98">
        <v>51</v>
      </c>
      <c r="Y62" s="98">
        <v>50</v>
      </c>
      <c r="Z62" s="98">
        <v>55</v>
      </c>
      <c r="AA62" s="98">
        <v>55</v>
      </c>
      <c r="AB62" s="98">
        <v>52</v>
      </c>
      <c r="AC62" s="98">
        <v>52</v>
      </c>
      <c r="AD62" s="98">
        <v>48</v>
      </c>
      <c r="AE62" s="98">
        <v>43</v>
      </c>
      <c r="AF62" s="98">
        <v>47</v>
      </c>
      <c r="AG62" s="98">
        <v>43</v>
      </c>
    </row>
    <row r="63" spans="1:33" x14ac:dyDescent="0.3">
      <c r="A63" s="7">
        <v>58</v>
      </c>
      <c r="B63" s="7" t="s">
        <v>454</v>
      </c>
      <c r="C63" s="7" t="s">
        <v>455</v>
      </c>
      <c r="D63" s="8">
        <f>'CDC Source Data'!D434</f>
        <v>156840</v>
      </c>
      <c r="E63" s="8">
        <f>'CDC Source Data'!E434</f>
        <v>52</v>
      </c>
      <c r="F63" s="31">
        <f t="shared" si="0"/>
        <v>33.404285070615103</v>
      </c>
      <c r="G63" s="9">
        <f>'CDC Source Data'!F434</f>
        <v>0</v>
      </c>
      <c r="H63" s="7" t="str">
        <f>'CDC Source Data'!G434</f>
        <v>Completeness of provisional 2019 data under 90% after 6 months.</v>
      </c>
      <c r="I63" s="97">
        <v>29.1</v>
      </c>
      <c r="J63" s="97">
        <v>30.4</v>
      </c>
      <c r="K63" s="98">
        <v>62</v>
      </c>
      <c r="L63" s="98">
        <v>67</v>
      </c>
      <c r="M63" s="98">
        <v>84</v>
      </c>
      <c r="N63" s="98">
        <v>82</v>
      </c>
      <c r="O63" s="98">
        <v>86</v>
      </c>
      <c r="P63" s="98">
        <v>88</v>
      </c>
      <c r="Q63" s="98">
        <v>83</v>
      </c>
      <c r="R63" s="98">
        <v>101</v>
      </c>
      <c r="S63" s="98">
        <v>105</v>
      </c>
      <c r="T63" s="98">
        <v>102</v>
      </c>
      <c r="U63" s="98">
        <v>111</v>
      </c>
      <c r="V63" s="98">
        <v>107</v>
      </c>
      <c r="W63" s="98">
        <v>104</v>
      </c>
      <c r="X63" s="98">
        <v>106</v>
      </c>
      <c r="Y63" s="98">
        <v>98</v>
      </c>
      <c r="Z63" s="98">
        <v>89</v>
      </c>
      <c r="AA63" s="98">
        <v>78</v>
      </c>
      <c r="AB63" s="98">
        <v>72</v>
      </c>
      <c r="AC63" s="98">
        <v>63</v>
      </c>
      <c r="AD63" s="98">
        <v>57</v>
      </c>
      <c r="AE63" s="98">
        <v>55</v>
      </c>
      <c r="AF63" s="98">
        <v>56</v>
      </c>
      <c r="AG63" s="98">
        <v>52</v>
      </c>
    </row>
    <row r="64" spans="1:33" x14ac:dyDescent="0.3">
      <c r="A64" s="7">
        <v>59</v>
      </c>
      <c r="B64" s="7" t="s">
        <v>456</v>
      </c>
      <c r="C64" s="7" t="s">
        <v>267</v>
      </c>
      <c r="D64" s="8">
        <f>'CDC Source Data'!D617</f>
        <v>169418</v>
      </c>
      <c r="E64" s="8">
        <f>'CDC Source Data'!E617</f>
        <v>56</v>
      </c>
      <c r="F64" s="31">
        <f t="shared" si="0"/>
        <v>33.154807447079826</v>
      </c>
      <c r="G64" s="9">
        <f>'CDC Source Data'!F617</f>
        <v>0</v>
      </c>
      <c r="H64" s="7">
        <f>'CDC Source Data'!G617</f>
        <v>0</v>
      </c>
      <c r="I64" s="97">
        <v>16</v>
      </c>
      <c r="J64" s="97">
        <v>16.7</v>
      </c>
      <c r="K64" s="98">
        <v>27</v>
      </c>
      <c r="L64" s="98">
        <v>36</v>
      </c>
      <c r="M64" s="98">
        <v>38</v>
      </c>
      <c r="N64" s="98">
        <v>48</v>
      </c>
      <c r="O64" s="98">
        <v>48</v>
      </c>
      <c r="P64" s="98">
        <v>44</v>
      </c>
      <c r="Q64" s="98">
        <v>48</v>
      </c>
      <c r="R64" s="98">
        <v>51</v>
      </c>
      <c r="S64" s="98">
        <v>56</v>
      </c>
      <c r="T64" s="98">
        <v>55</v>
      </c>
      <c r="U64" s="98">
        <v>59</v>
      </c>
      <c r="V64" s="98">
        <v>64</v>
      </c>
      <c r="W64" s="98">
        <v>75</v>
      </c>
      <c r="X64" s="98">
        <v>76</v>
      </c>
      <c r="Y64" s="98">
        <v>77</v>
      </c>
      <c r="Z64" s="98">
        <v>73</v>
      </c>
      <c r="AA64" s="98">
        <v>61</v>
      </c>
      <c r="AB64" s="98">
        <v>66</v>
      </c>
      <c r="AC64" s="98">
        <v>65</v>
      </c>
      <c r="AD64" s="98">
        <v>64</v>
      </c>
      <c r="AE64" s="98">
        <v>66</v>
      </c>
      <c r="AF64" s="98">
        <v>61</v>
      </c>
      <c r="AG64" s="98">
        <v>56</v>
      </c>
    </row>
    <row r="65" spans="1:33" x14ac:dyDescent="0.3">
      <c r="A65" s="7">
        <v>60</v>
      </c>
      <c r="B65" s="7" t="s">
        <v>457</v>
      </c>
      <c r="C65" s="7" t="s">
        <v>458</v>
      </c>
      <c r="D65" s="8">
        <f>'CDC Source Data'!D9</f>
        <v>179245</v>
      </c>
      <c r="E65" s="8">
        <f>'CDC Source Data'!E9</f>
        <v>59</v>
      </c>
      <c r="F65" s="31">
        <f t="shared" si="0"/>
        <v>33.054338972246157</v>
      </c>
      <c r="G65" s="9">
        <f>'CDC Source Data'!F9</f>
        <v>0.14000000000000001</v>
      </c>
      <c r="H65" s="7">
        <f>'CDC Source Data'!G9</f>
        <v>0</v>
      </c>
      <c r="I65" s="97">
        <v>26</v>
      </c>
      <c r="J65" s="97">
        <v>27.1</v>
      </c>
      <c r="K65" s="98">
        <v>48</v>
      </c>
      <c r="L65" s="98">
        <v>63</v>
      </c>
      <c r="M65" s="98">
        <v>70</v>
      </c>
      <c r="N65" s="98">
        <v>77</v>
      </c>
      <c r="O65" s="98">
        <v>73</v>
      </c>
      <c r="P65" s="98">
        <v>73</v>
      </c>
      <c r="Q65" s="98">
        <v>75</v>
      </c>
      <c r="R65" s="98">
        <v>81</v>
      </c>
      <c r="S65" s="98">
        <v>92</v>
      </c>
      <c r="T65" s="98">
        <v>93</v>
      </c>
      <c r="U65" s="98">
        <v>91</v>
      </c>
      <c r="V65" s="98">
        <v>99</v>
      </c>
      <c r="W65" s="98">
        <v>101</v>
      </c>
      <c r="X65" s="98">
        <v>108</v>
      </c>
      <c r="Y65" s="98">
        <v>106</v>
      </c>
      <c r="Z65" s="98">
        <v>96</v>
      </c>
      <c r="AA65" s="98">
        <v>93</v>
      </c>
      <c r="AB65" s="98">
        <v>71</v>
      </c>
      <c r="AC65" s="98">
        <v>61</v>
      </c>
      <c r="AD65" s="98">
        <v>52</v>
      </c>
      <c r="AE65" s="98">
        <v>44</v>
      </c>
      <c r="AF65" s="98">
        <v>53</v>
      </c>
      <c r="AG65" s="98">
        <v>59</v>
      </c>
    </row>
    <row r="66" spans="1:33" x14ac:dyDescent="0.3">
      <c r="A66" s="7">
        <v>61</v>
      </c>
      <c r="B66" s="7" t="s">
        <v>459</v>
      </c>
      <c r="C66" s="7" t="s">
        <v>24</v>
      </c>
      <c r="D66" s="8">
        <f>'CDC Source Data'!D553</f>
        <v>139823</v>
      </c>
      <c r="E66" s="8">
        <f>'CDC Source Data'!E553</f>
        <v>46</v>
      </c>
      <c r="F66" s="31">
        <f t="shared" si="0"/>
        <v>32.915841446065443</v>
      </c>
      <c r="G66" s="9">
        <f>'CDC Source Data'!F553</f>
        <v>7.0000000000000007E-2</v>
      </c>
      <c r="H66" s="7">
        <f>'CDC Source Data'!G553</f>
        <v>0</v>
      </c>
      <c r="I66" s="97">
        <v>33.700000000000003</v>
      </c>
      <c r="J66" s="97">
        <v>35.200000000000003</v>
      </c>
      <c r="K66" s="98">
        <v>44</v>
      </c>
      <c r="L66" s="98">
        <v>54</v>
      </c>
      <c r="M66" s="98">
        <v>67</v>
      </c>
      <c r="N66" s="98">
        <v>77</v>
      </c>
      <c r="O66" s="98">
        <v>86</v>
      </c>
      <c r="P66" s="98">
        <v>84</v>
      </c>
      <c r="Q66" s="98">
        <v>90</v>
      </c>
      <c r="R66" s="98">
        <v>92</v>
      </c>
      <c r="S66" s="98">
        <v>102</v>
      </c>
      <c r="T66" s="98">
        <v>109</v>
      </c>
      <c r="U66" s="98">
        <v>105</v>
      </c>
      <c r="V66" s="98">
        <v>103</v>
      </c>
      <c r="W66" s="98">
        <v>89</v>
      </c>
      <c r="X66" s="98">
        <v>81</v>
      </c>
      <c r="Y66" s="98">
        <v>80</v>
      </c>
      <c r="Z66" s="98">
        <v>71</v>
      </c>
      <c r="AA66" s="98">
        <v>68</v>
      </c>
      <c r="AB66" s="98">
        <v>68</v>
      </c>
      <c r="AC66" s="98">
        <v>60</v>
      </c>
      <c r="AD66" s="98">
        <v>54</v>
      </c>
      <c r="AE66" s="98">
        <v>55</v>
      </c>
      <c r="AF66" s="98">
        <v>51</v>
      </c>
      <c r="AG66" s="98">
        <v>46</v>
      </c>
    </row>
    <row r="67" spans="1:33" x14ac:dyDescent="0.3">
      <c r="A67" s="7">
        <v>62</v>
      </c>
      <c r="B67" s="7" t="s">
        <v>460</v>
      </c>
      <c r="C67" s="7" t="s">
        <v>267</v>
      </c>
      <c r="D67" s="8">
        <f>'CDC Source Data'!D505</f>
        <v>536081</v>
      </c>
      <c r="E67" s="8">
        <f>'CDC Source Data'!E505</f>
        <v>176</v>
      </c>
      <c r="F67" s="31">
        <f t="shared" si="0"/>
        <v>32.898736259413688</v>
      </c>
      <c r="G67" s="9">
        <f>'CDC Source Data'!F505</f>
        <v>0.04</v>
      </c>
      <c r="H67" s="7" t="str">
        <f>'CDC Source Data'!G505</f>
        <v>Completeness of provisional 2019 data under 90% after 6 months.</v>
      </c>
      <c r="I67" s="97">
        <v>21.9</v>
      </c>
      <c r="J67" s="97">
        <v>22.9</v>
      </c>
      <c r="K67" s="98">
        <v>117</v>
      </c>
      <c r="L67" s="98">
        <v>126</v>
      </c>
      <c r="M67" s="98">
        <v>149</v>
      </c>
      <c r="N67" s="98">
        <v>156</v>
      </c>
      <c r="O67" s="98">
        <v>164</v>
      </c>
      <c r="P67" s="98">
        <v>182</v>
      </c>
      <c r="Q67" s="98">
        <v>198</v>
      </c>
      <c r="R67" s="98">
        <v>211</v>
      </c>
      <c r="S67" s="98">
        <v>229</v>
      </c>
      <c r="T67" s="98">
        <v>236</v>
      </c>
      <c r="U67" s="98">
        <v>231</v>
      </c>
      <c r="V67" s="98">
        <v>238</v>
      </c>
      <c r="W67" s="98">
        <v>227</v>
      </c>
      <c r="X67" s="98">
        <v>230</v>
      </c>
      <c r="Y67" s="98">
        <v>219</v>
      </c>
      <c r="Z67" s="98">
        <v>203</v>
      </c>
      <c r="AA67" s="98">
        <v>200</v>
      </c>
      <c r="AB67" s="98">
        <v>183</v>
      </c>
      <c r="AC67" s="98">
        <v>163</v>
      </c>
      <c r="AD67" s="98">
        <v>172</v>
      </c>
      <c r="AE67" s="98">
        <v>174</v>
      </c>
      <c r="AF67" s="98">
        <v>159</v>
      </c>
      <c r="AG67" s="98">
        <v>176</v>
      </c>
    </row>
    <row r="68" spans="1:33" x14ac:dyDescent="0.3">
      <c r="A68" s="7">
        <v>63</v>
      </c>
      <c r="B68" s="7" t="s">
        <v>461</v>
      </c>
      <c r="C68" s="7" t="s">
        <v>45</v>
      </c>
      <c r="D68" s="8">
        <f>'CDC Source Data'!D112</f>
        <v>2398871</v>
      </c>
      <c r="E68" s="8">
        <f>'CDC Source Data'!E112</f>
        <v>784</v>
      </c>
      <c r="F68" s="31">
        <f t="shared" si="0"/>
        <v>32.830859515632895</v>
      </c>
      <c r="G68" s="9">
        <f>'CDC Source Data'!F112</f>
        <v>1.1000000000000001</v>
      </c>
      <c r="H68" s="7">
        <f>'CDC Source Data'!G112</f>
        <v>0</v>
      </c>
      <c r="I68" s="97">
        <v>26.5</v>
      </c>
      <c r="J68" s="97">
        <v>27.7</v>
      </c>
      <c r="K68" s="98">
        <v>434</v>
      </c>
      <c r="L68" s="98">
        <v>500</v>
      </c>
      <c r="M68" s="98">
        <v>540</v>
      </c>
      <c r="N68" s="98">
        <v>605</v>
      </c>
      <c r="O68" s="98">
        <v>676</v>
      </c>
      <c r="P68" s="98">
        <v>673</v>
      </c>
      <c r="Q68" s="98">
        <v>689</v>
      </c>
      <c r="R68" s="98">
        <v>670</v>
      </c>
      <c r="S68" s="98">
        <v>644</v>
      </c>
      <c r="T68" s="98">
        <v>641</v>
      </c>
      <c r="U68" s="98">
        <v>656</v>
      </c>
      <c r="V68" s="98">
        <v>668</v>
      </c>
      <c r="W68" s="98">
        <v>709</v>
      </c>
      <c r="X68" s="98">
        <v>741</v>
      </c>
      <c r="Y68" s="98">
        <v>829</v>
      </c>
      <c r="Z68" s="98">
        <v>897</v>
      </c>
      <c r="AA68" s="98">
        <v>940</v>
      </c>
      <c r="AB68" s="98">
        <v>996</v>
      </c>
      <c r="AC68" s="98">
        <v>967</v>
      </c>
      <c r="AD68" s="98">
        <v>924</v>
      </c>
      <c r="AE68" s="98">
        <v>892</v>
      </c>
      <c r="AF68" s="98">
        <v>858</v>
      </c>
      <c r="AG68" s="98">
        <v>784</v>
      </c>
    </row>
    <row r="69" spans="1:33" x14ac:dyDescent="0.3">
      <c r="A69" s="7">
        <v>64</v>
      </c>
      <c r="B69" s="7" t="s">
        <v>462</v>
      </c>
      <c r="C69" s="7" t="s">
        <v>27</v>
      </c>
      <c r="D69" s="8">
        <f>'CDC Source Data'!D59</f>
        <v>113782</v>
      </c>
      <c r="E69" s="8">
        <f>'CDC Source Data'!E59</f>
        <v>37</v>
      </c>
      <c r="F69" s="31">
        <f t="shared" si="0"/>
        <v>32.682040843380072</v>
      </c>
      <c r="G69" s="9">
        <f>'CDC Source Data'!F59</f>
        <v>0</v>
      </c>
      <c r="H69" s="7">
        <f>'CDC Source Data'!G59</f>
        <v>0</v>
      </c>
      <c r="I69" s="97">
        <v>27.2</v>
      </c>
      <c r="J69" s="97">
        <v>28.4</v>
      </c>
      <c r="K69" s="98">
        <v>28</v>
      </c>
      <c r="L69" s="98">
        <v>33</v>
      </c>
      <c r="M69" s="98">
        <v>37</v>
      </c>
      <c r="N69" s="98">
        <v>38</v>
      </c>
      <c r="O69" s="98">
        <v>38</v>
      </c>
      <c r="P69" s="98">
        <v>41</v>
      </c>
      <c r="Q69" s="98">
        <v>47</v>
      </c>
      <c r="R69" s="98">
        <v>50</v>
      </c>
      <c r="S69" s="98">
        <v>52</v>
      </c>
      <c r="T69" s="98">
        <v>47</v>
      </c>
      <c r="U69" s="98">
        <v>45</v>
      </c>
      <c r="V69" s="98">
        <v>42</v>
      </c>
      <c r="W69" s="98">
        <v>38</v>
      </c>
      <c r="X69" s="98">
        <v>42</v>
      </c>
      <c r="Y69" s="98">
        <v>38</v>
      </c>
      <c r="Z69" s="98">
        <v>37</v>
      </c>
      <c r="AA69" s="98">
        <v>35</v>
      </c>
      <c r="AB69" s="98">
        <v>30</v>
      </c>
      <c r="AC69" s="98">
        <v>29</v>
      </c>
      <c r="AD69" s="98">
        <v>33</v>
      </c>
      <c r="AE69" s="98">
        <v>35</v>
      </c>
      <c r="AF69" s="98">
        <v>39</v>
      </c>
      <c r="AG69" s="98">
        <v>37</v>
      </c>
    </row>
    <row r="70" spans="1:33" x14ac:dyDescent="0.3">
      <c r="A70" s="7">
        <v>65</v>
      </c>
      <c r="B70" s="7" t="s">
        <v>40</v>
      </c>
      <c r="C70" s="7" t="s">
        <v>463</v>
      </c>
      <c r="D70" s="8">
        <f>'CDC Source Data'!D266</f>
        <v>664744</v>
      </c>
      <c r="E70" s="8">
        <f>'CDC Source Data'!E266</f>
        <v>216</v>
      </c>
      <c r="F70" s="31">
        <f t="shared" ref="F70:F133" si="1">IFERROR(E69/D69*100000,"")</f>
        <v>32.518324515301195</v>
      </c>
      <c r="G70" s="9">
        <f>'CDC Source Data'!F266</f>
        <v>0.1</v>
      </c>
      <c r="H70" s="7">
        <f>'CDC Source Data'!G266</f>
        <v>0</v>
      </c>
      <c r="I70" s="97">
        <v>26.1</v>
      </c>
      <c r="J70" s="97">
        <v>27.2</v>
      </c>
      <c r="K70" s="98">
        <v>201</v>
      </c>
      <c r="L70" s="98">
        <v>227</v>
      </c>
      <c r="M70" s="98">
        <v>236</v>
      </c>
      <c r="N70" s="98">
        <v>267</v>
      </c>
      <c r="O70" s="98">
        <v>306</v>
      </c>
      <c r="P70" s="98">
        <v>314</v>
      </c>
      <c r="Q70" s="98">
        <v>343</v>
      </c>
      <c r="R70" s="98">
        <v>348</v>
      </c>
      <c r="S70" s="98">
        <v>330</v>
      </c>
      <c r="T70" s="98">
        <v>364</v>
      </c>
      <c r="U70" s="98">
        <v>377</v>
      </c>
      <c r="V70" s="98">
        <v>381</v>
      </c>
      <c r="W70" s="98">
        <v>425</v>
      </c>
      <c r="X70" s="98">
        <v>406</v>
      </c>
      <c r="Y70" s="98">
        <v>407</v>
      </c>
      <c r="Z70" s="98">
        <v>417</v>
      </c>
      <c r="AA70" s="98">
        <v>393</v>
      </c>
      <c r="AB70" s="98">
        <v>359</v>
      </c>
      <c r="AC70" s="98">
        <v>332</v>
      </c>
      <c r="AD70" s="98">
        <v>295</v>
      </c>
      <c r="AE70" s="98">
        <v>262</v>
      </c>
      <c r="AF70" s="98">
        <v>245</v>
      </c>
      <c r="AG70" s="98">
        <v>216</v>
      </c>
    </row>
    <row r="71" spans="1:33" x14ac:dyDescent="0.3">
      <c r="A71" s="7">
        <v>66</v>
      </c>
      <c r="B71" s="7" t="s">
        <v>464</v>
      </c>
      <c r="C71" s="7" t="s">
        <v>11</v>
      </c>
      <c r="D71" s="8">
        <f>'CDC Source Data'!D588</f>
        <v>157228</v>
      </c>
      <c r="E71" s="8">
        <f>'CDC Source Data'!E588</f>
        <v>51</v>
      </c>
      <c r="F71" s="31">
        <f t="shared" si="1"/>
        <v>32.49371186501871</v>
      </c>
      <c r="G71" s="9">
        <f>'CDC Source Data'!F588</f>
        <v>0.11</v>
      </c>
      <c r="H71" s="7">
        <f>'CDC Source Data'!G588</f>
        <v>0</v>
      </c>
      <c r="I71" s="97">
        <v>36.799999999999997</v>
      </c>
      <c r="J71" s="97">
        <v>38.4</v>
      </c>
      <c r="K71" s="98">
        <v>89</v>
      </c>
      <c r="L71" s="98">
        <v>92</v>
      </c>
      <c r="M71" s="98">
        <v>98</v>
      </c>
      <c r="N71" s="98">
        <v>104</v>
      </c>
      <c r="O71" s="98">
        <v>98</v>
      </c>
      <c r="P71" s="98">
        <v>97</v>
      </c>
      <c r="Q71" s="98">
        <v>103</v>
      </c>
      <c r="R71" s="98">
        <v>98</v>
      </c>
      <c r="S71" s="98">
        <v>107</v>
      </c>
      <c r="T71" s="98">
        <v>109</v>
      </c>
      <c r="U71" s="98">
        <v>100</v>
      </c>
      <c r="V71" s="98">
        <v>100</v>
      </c>
      <c r="W71" s="98">
        <v>92</v>
      </c>
      <c r="X71" s="98">
        <v>98</v>
      </c>
      <c r="Y71" s="98">
        <v>98</v>
      </c>
      <c r="Z71" s="98">
        <v>91</v>
      </c>
      <c r="AA71" s="98">
        <v>84</v>
      </c>
      <c r="AB71" s="98">
        <v>66</v>
      </c>
      <c r="AC71" s="98">
        <v>61</v>
      </c>
      <c r="AD71" s="98">
        <v>58</v>
      </c>
      <c r="AE71" s="98">
        <v>59</v>
      </c>
      <c r="AF71" s="98">
        <v>57</v>
      </c>
      <c r="AG71" s="98">
        <v>51</v>
      </c>
    </row>
    <row r="72" spans="1:33" x14ac:dyDescent="0.3">
      <c r="A72" s="7">
        <v>67</v>
      </c>
      <c r="B72" s="7" t="s">
        <v>465</v>
      </c>
      <c r="C72" s="7" t="s">
        <v>19</v>
      </c>
      <c r="D72" s="8">
        <f>'CDC Source Data'!D52</f>
        <v>120269</v>
      </c>
      <c r="E72" s="8">
        <f>'CDC Source Data'!E52</f>
        <v>39</v>
      </c>
      <c r="F72" s="31">
        <f t="shared" si="1"/>
        <v>32.436970514157785</v>
      </c>
      <c r="G72" s="9">
        <f>'CDC Source Data'!F52</f>
        <v>0.06</v>
      </c>
      <c r="H72" s="7" t="str">
        <f>'CDC Source Data'!G52</f>
        <v>Completeness of provisional 2019 data under 90% after 6 months.</v>
      </c>
      <c r="I72" s="97">
        <v>27.1</v>
      </c>
      <c r="J72" s="97">
        <v>28.2</v>
      </c>
      <c r="K72" s="98">
        <v>34</v>
      </c>
      <c r="L72" s="98">
        <v>42</v>
      </c>
      <c r="M72" s="98">
        <v>48</v>
      </c>
      <c r="N72" s="98">
        <v>47</v>
      </c>
      <c r="O72" s="98">
        <v>51</v>
      </c>
      <c r="P72" s="98">
        <v>46</v>
      </c>
      <c r="Q72" s="98">
        <v>42</v>
      </c>
      <c r="R72" s="98">
        <v>43</v>
      </c>
      <c r="S72" s="98">
        <v>45</v>
      </c>
      <c r="T72" s="98">
        <v>45</v>
      </c>
      <c r="U72" s="98">
        <v>55</v>
      </c>
      <c r="V72" s="98">
        <v>61</v>
      </c>
      <c r="W72" s="98">
        <v>56</v>
      </c>
      <c r="X72" s="98">
        <v>59</v>
      </c>
      <c r="Y72" s="98">
        <v>53</v>
      </c>
      <c r="Z72" s="98">
        <v>50</v>
      </c>
      <c r="AA72" s="98">
        <v>43</v>
      </c>
      <c r="AB72" s="98">
        <v>43</v>
      </c>
      <c r="AC72" s="98">
        <v>41</v>
      </c>
      <c r="AD72" s="98">
        <v>35</v>
      </c>
      <c r="AE72" s="98">
        <v>44</v>
      </c>
      <c r="AF72" s="98">
        <v>39</v>
      </c>
      <c r="AG72" s="98">
        <v>39</v>
      </c>
    </row>
    <row r="73" spans="1:33" x14ac:dyDescent="0.3">
      <c r="A73" s="7">
        <v>68</v>
      </c>
      <c r="B73" s="7" t="s">
        <v>466</v>
      </c>
      <c r="C73" s="7" t="s">
        <v>467</v>
      </c>
      <c r="D73" s="8">
        <f>'CDC Source Data'!D93</f>
        <v>167054</v>
      </c>
      <c r="E73" s="8">
        <f>'CDC Source Data'!E93</f>
        <v>54</v>
      </c>
      <c r="F73" s="31">
        <f t="shared" si="1"/>
        <v>32.427308782811863</v>
      </c>
      <c r="G73" s="9">
        <f>'CDC Source Data'!F93</f>
        <v>0.84</v>
      </c>
      <c r="H73" s="7" t="str">
        <f>'CDC Source Data'!G93</f>
        <v>Completeness of provisional 2019 data under 90% after 6 months.</v>
      </c>
      <c r="I73" s="97">
        <v>25.8</v>
      </c>
      <c r="J73" s="97">
        <v>26.9</v>
      </c>
      <c r="K73" s="98">
        <v>32</v>
      </c>
      <c r="L73" s="98">
        <v>33</v>
      </c>
      <c r="M73" s="98">
        <v>29</v>
      </c>
      <c r="N73" s="98">
        <v>36</v>
      </c>
      <c r="O73" s="98">
        <v>54</v>
      </c>
      <c r="P73" s="98">
        <v>66</v>
      </c>
      <c r="Q73" s="98">
        <v>81</v>
      </c>
      <c r="R73" s="98">
        <v>86</v>
      </c>
      <c r="S73" s="98">
        <v>75</v>
      </c>
      <c r="T73" s="98">
        <v>70</v>
      </c>
      <c r="U73" s="98">
        <v>68</v>
      </c>
      <c r="V73" s="98">
        <v>65</v>
      </c>
      <c r="W73" s="98">
        <v>70</v>
      </c>
      <c r="X73" s="98">
        <v>71</v>
      </c>
      <c r="Y73" s="98">
        <v>64</v>
      </c>
      <c r="Z73" s="98">
        <v>69</v>
      </c>
      <c r="AA73" s="98">
        <v>68</v>
      </c>
      <c r="AB73" s="98">
        <v>71</v>
      </c>
      <c r="AC73" s="98">
        <v>68</v>
      </c>
      <c r="AD73" s="98">
        <v>64</v>
      </c>
      <c r="AE73" s="98">
        <v>61</v>
      </c>
      <c r="AF73" s="98">
        <v>57</v>
      </c>
      <c r="AG73" s="98">
        <v>54</v>
      </c>
    </row>
    <row r="74" spans="1:33" x14ac:dyDescent="0.3">
      <c r="A74" s="7">
        <v>69</v>
      </c>
      <c r="B74" s="7" t="s">
        <v>461</v>
      </c>
      <c r="C74" s="7" t="s">
        <v>35</v>
      </c>
      <c r="D74" s="8">
        <f>'CDC Source Data'!D111</f>
        <v>127479</v>
      </c>
      <c r="E74" s="8">
        <f>'CDC Source Data'!E111</f>
        <v>41</v>
      </c>
      <c r="F74" s="31">
        <f t="shared" si="1"/>
        <v>32.324876985884806</v>
      </c>
      <c r="G74" s="9">
        <f>'CDC Source Data'!F111</f>
        <v>0</v>
      </c>
      <c r="H74" s="7" t="str">
        <f>'CDC Source Data'!G111</f>
        <v>Completeness of provisional 2019 data under 90% after 6 months.</v>
      </c>
      <c r="I74" s="97">
        <v>33.5</v>
      </c>
      <c r="J74" s="97">
        <v>35</v>
      </c>
      <c r="K74" s="98">
        <v>47</v>
      </c>
      <c r="L74" s="98">
        <v>47</v>
      </c>
      <c r="M74" s="98">
        <v>65</v>
      </c>
      <c r="N74" s="98">
        <v>64</v>
      </c>
      <c r="O74" s="98">
        <v>61</v>
      </c>
      <c r="P74" s="98">
        <v>62</v>
      </c>
      <c r="Q74" s="98">
        <v>60</v>
      </c>
      <c r="R74" s="98">
        <v>67</v>
      </c>
      <c r="S74" s="98">
        <v>70</v>
      </c>
      <c r="T74" s="98">
        <v>72</v>
      </c>
      <c r="U74" s="98">
        <v>64</v>
      </c>
      <c r="V74" s="98">
        <v>62</v>
      </c>
      <c r="W74" s="98">
        <v>64</v>
      </c>
      <c r="X74" s="98">
        <v>68</v>
      </c>
      <c r="Y74" s="98">
        <v>70</v>
      </c>
      <c r="Z74" s="98">
        <v>67</v>
      </c>
      <c r="AA74" s="98">
        <v>59</v>
      </c>
      <c r="AB74" s="98">
        <v>54</v>
      </c>
      <c r="AC74" s="98">
        <v>55</v>
      </c>
      <c r="AD74" s="98">
        <v>55</v>
      </c>
      <c r="AE74" s="98">
        <v>58</v>
      </c>
      <c r="AF74" s="98">
        <v>50</v>
      </c>
      <c r="AG74" s="98">
        <v>41</v>
      </c>
    </row>
    <row r="75" spans="1:33" x14ac:dyDescent="0.3">
      <c r="A75" s="7">
        <v>70</v>
      </c>
      <c r="B75" s="7" t="s">
        <v>468</v>
      </c>
      <c r="C75" s="7" t="s">
        <v>469</v>
      </c>
      <c r="D75" s="8">
        <f>'CDC Source Data'!D466</f>
        <v>206303</v>
      </c>
      <c r="E75" s="8">
        <f>'CDC Source Data'!E466</f>
        <v>66</v>
      </c>
      <c r="F75" s="31">
        <f t="shared" si="1"/>
        <v>32.162160042046139</v>
      </c>
      <c r="G75" s="9">
        <f>'CDC Source Data'!F466</f>
        <v>0.39</v>
      </c>
      <c r="H75" s="7" t="str">
        <f>'CDC Source Data'!G466</f>
        <v>Completeness of provisional 2019 data under 90% after 6 months.</v>
      </c>
      <c r="I75" s="97">
        <v>23.2</v>
      </c>
      <c r="J75" s="97">
        <v>24.2</v>
      </c>
      <c r="K75" s="98">
        <v>58</v>
      </c>
      <c r="L75" s="98">
        <v>62</v>
      </c>
      <c r="M75" s="98">
        <v>65</v>
      </c>
      <c r="N75" s="98">
        <v>70</v>
      </c>
      <c r="O75" s="98">
        <v>71</v>
      </c>
      <c r="P75" s="98">
        <v>77</v>
      </c>
      <c r="Q75" s="98">
        <v>73</v>
      </c>
      <c r="R75" s="98">
        <v>84</v>
      </c>
      <c r="S75" s="98">
        <v>87</v>
      </c>
      <c r="T75" s="98">
        <v>89</v>
      </c>
      <c r="U75" s="98">
        <v>113</v>
      </c>
      <c r="V75" s="98">
        <v>113</v>
      </c>
      <c r="W75" s="98">
        <v>117</v>
      </c>
      <c r="X75" s="98">
        <v>121</v>
      </c>
      <c r="Y75" s="98">
        <v>110</v>
      </c>
      <c r="Z75" s="98">
        <v>111</v>
      </c>
      <c r="AA75" s="98">
        <v>104</v>
      </c>
      <c r="AB75" s="98">
        <v>94</v>
      </c>
      <c r="AC75" s="98">
        <v>100</v>
      </c>
      <c r="AD75" s="98">
        <v>92</v>
      </c>
      <c r="AE75" s="98">
        <v>83</v>
      </c>
      <c r="AF75" s="98">
        <v>79</v>
      </c>
      <c r="AG75" s="98">
        <v>66</v>
      </c>
    </row>
    <row r="76" spans="1:33" x14ac:dyDescent="0.3">
      <c r="A76" s="7">
        <v>71</v>
      </c>
      <c r="B76" s="7" t="s">
        <v>470</v>
      </c>
      <c r="C76" s="7" t="s">
        <v>27</v>
      </c>
      <c r="D76" s="8">
        <f>'CDC Source Data'!D223</f>
        <v>386256</v>
      </c>
      <c r="E76" s="8">
        <f>'CDC Source Data'!E223</f>
        <v>123</v>
      </c>
      <c r="F76" s="31">
        <f t="shared" si="1"/>
        <v>31.991779082223719</v>
      </c>
      <c r="G76" s="9">
        <f>'CDC Source Data'!F223</f>
        <v>0.02</v>
      </c>
      <c r="H76" s="7">
        <f>'CDC Source Data'!G223</f>
        <v>0</v>
      </c>
      <c r="I76" s="97">
        <v>23.6</v>
      </c>
      <c r="J76" s="97">
        <v>24.6</v>
      </c>
      <c r="K76" s="98">
        <v>94</v>
      </c>
      <c r="L76" s="98">
        <v>109</v>
      </c>
      <c r="M76" s="98">
        <v>131</v>
      </c>
      <c r="N76" s="98">
        <v>138</v>
      </c>
      <c r="O76" s="98">
        <v>151</v>
      </c>
      <c r="P76" s="98">
        <v>149</v>
      </c>
      <c r="Q76" s="98">
        <v>162</v>
      </c>
      <c r="R76" s="98">
        <v>171</v>
      </c>
      <c r="S76" s="98">
        <v>170</v>
      </c>
      <c r="T76" s="98">
        <v>189</v>
      </c>
      <c r="U76" s="98">
        <v>177</v>
      </c>
      <c r="V76" s="98">
        <v>184</v>
      </c>
      <c r="W76" s="98">
        <v>193</v>
      </c>
      <c r="X76" s="98">
        <v>179</v>
      </c>
      <c r="Y76" s="98">
        <v>192</v>
      </c>
      <c r="Z76" s="98">
        <v>174</v>
      </c>
      <c r="AA76" s="98">
        <v>168</v>
      </c>
      <c r="AB76" s="98">
        <v>161</v>
      </c>
      <c r="AC76" s="98">
        <v>133</v>
      </c>
      <c r="AD76" s="98">
        <v>136</v>
      </c>
      <c r="AE76" s="98">
        <v>126</v>
      </c>
      <c r="AF76" s="98">
        <v>119</v>
      </c>
      <c r="AG76" s="98">
        <v>123</v>
      </c>
    </row>
    <row r="77" spans="1:33" x14ac:dyDescent="0.3">
      <c r="A77" s="7">
        <v>72</v>
      </c>
      <c r="B77" s="7" t="s">
        <v>471</v>
      </c>
      <c r="C77" s="7" t="s">
        <v>237</v>
      </c>
      <c r="D77" s="8">
        <f>'CDC Source Data'!D83</f>
        <v>533988</v>
      </c>
      <c r="E77" s="8">
        <f>'CDC Source Data'!E83</f>
        <v>170</v>
      </c>
      <c r="F77" s="31">
        <f t="shared" si="1"/>
        <v>31.844165527525785</v>
      </c>
      <c r="G77" s="9">
        <f>'CDC Source Data'!F83</f>
        <v>0.18</v>
      </c>
      <c r="H77" s="7">
        <f>'CDC Source Data'!G83</f>
        <v>0</v>
      </c>
      <c r="I77" s="97">
        <v>40.5</v>
      </c>
      <c r="J77" s="97">
        <v>42.2</v>
      </c>
      <c r="K77" s="98">
        <v>325</v>
      </c>
      <c r="L77" s="98">
        <v>305</v>
      </c>
      <c r="M77" s="98">
        <v>290</v>
      </c>
      <c r="N77" s="98">
        <v>272</v>
      </c>
      <c r="O77" s="98">
        <v>278</v>
      </c>
      <c r="P77" s="98">
        <v>288</v>
      </c>
      <c r="Q77" s="98">
        <v>282</v>
      </c>
      <c r="R77" s="98">
        <v>301</v>
      </c>
      <c r="S77" s="98">
        <v>298</v>
      </c>
      <c r="T77" s="98">
        <v>310</v>
      </c>
      <c r="U77" s="98">
        <v>328</v>
      </c>
      <c r="V77" s="98">
        <v>329</v>
      </c>
      <c r="W77" s="98">
        <v>315</v>
      </c>
      <c r="X77" s="98">
        <v>309</v>
      </c>
      <c r="Y77" s="98">
        <v>296</v>
      </c>
      <c r="Z77" s="98">
        <v>283</v>
      </c>
      <c r="AA77" s="98">
        <v>263</v>
      </c>
      <c r="AB77" s="98">
        <v>226</v>
      </c>
      <c r="AC77" s="98">
        <v>208</v>
      </c>
      <c r="AD77" s="98">
        <v>191</v>
      </c>
      <c r="AE77" s="98">
        <v>176</v>
      </c>
      <c r="AF77" s="98">
        <v>185</v>
      </c>
      <c r="AG77" s="98">
        <v>170</v>
      </c>
    </row>
    <row r="78" spans="1:33" x14ac:dyDescent="0.3">
      <c r="A78" s="7">
        <v>73</v>
      </c>
      <c r="B78" s="7" t="s">
        <v>472</v>
      </c>
      <c r="C78" s="7" t="s">
        <v>24</v>
      </c>
      <c r="D78" s="8">
        <f>'CDC Source Data'!D270</f>
        <v>427253</v>
      </c>
      <c r="E78" s="8">
        <f>'CDC Source Data'!E270</f>
        <v>136</v>
      </c>
      <c r="F78" s="31">
        <f t="shared" si="1"/>
        <v>31.835921406473556</v>
      </c>
      <c r="G78" s="9">
        <f>'CDC Source Data'!F270</f>
        <v>0</v>
      </c>
      <c r="H78" s="7">
        <f>'CDC Source Data'!G270</f>
        <v>0</v>
      </c>
      <c r="I78" s="97">
        <v>39.700000000000003</v>
      </c>
      <c r="J78" s="97">
        <v>41.4</v>
      </c>
      <c r="K78" s="98">
        <v>166</v>
      </c>
      <c r="L78" s="98">
        <v>206</v>
      </c>
      <c r="M78" s="98">
        <v>228</v>
      </c>
      <c r="N78" s="98">
        <v>244</v>
      </c>
      <c r="O78" s="98">
        <v>315</v>
      </c>
      <c r="P78" s="98">
        <v>306</v>
      </c>
      <c r="Q78" s="98">
        <v>335</v>
      </c>
      <c r="R78" s="98">
        <v>331</v>
      </c>
      <c r="S78" s="98">
        <v>296</v>
      </c>
      <c r="T78" s="98">
        <v>290</v>
      </c>
      <c r="U78" s="98">
        <v>270</v>
      </c>
      <c r="V78" s="98">
        <v>278</v>
      </c>
      <c r="W78" s="98">
        <v>252</v>
      </c>
      <c r="X78" s="98">
        <v>259</v>
      </c>
      <c r="Y78" s="98">
        <v>254</v>
      </c>
      <c r="Z78" s="98">
        <v>231</v>
      </c>
      <c r="AA78" s="98">
        <v>239</v>
      </c>
      <c r="AB78" s="98">
        <v>226</v>
      </c>
      <c r="AC78" s="98">
        <v>193</v>
      </c>
      <c r="AD78" s="98">
        <v>180</v>
      </c>
      <c r="AE78" s="98">
        <v>167</v>
      </c>
      <c r="AF78" s="98">
        <v>146</v>
      </c>
      <c r="AG78" s="98">
        <v>136</v>
      </c>
    </row>
    <row r="79" spans="1:33" x14ac:dyDescent="0.3">
      <c r="A79" s="7">
        <v>74</v>
      </c>
      <c r="B79" s="7" t="s">
        <v>256</v>
      </c>
      <c r="C79" s="7" t="s">
        <v>230</v>
      </c>
      <c r="D79" s="8">
        <f>'CDC Source Data'!D259</f>
        <v>727362</v>
      </c>
      <c r="E79" s="8">
        <f>'CDC Source Data'!E259</f>
        <v>231</v>
      </c>
      <c r="F79" s="31">
        <f t="shared" si="1"/>
        <v>31.83125688994577</v>
      </c>
      <c r="G79" s="9">
        <f>'CDC Source Data'!F259</f>
        <v>0</v>
      </c>
      <c r="H79" s="7">
        <f>'CDC Source Data'!G259</f>
        <v>0</v>
      </c>
      <c r="I79" s="97">
        <v>21.6</v>
      </c>
      <c r="J79" s="97">
        <v>22.6</v>
      </c>
      <c r="K79" s="98">
        <v>138</v>
      </c>
      <c r="L79" s="98">
        <v>153</v>
      </c>
      <c r="M79" s="98">
        <v>172</v>
      </c>
      <c r="N79" s="98">
        <v>177</v>
      </c>
      <c r="O79" s="98">
        <v>199</v>
      </c>
      <c r="P79" s="98">
        <v>225</v>
      </c>
      <c r="Q79" s="98">
        <v>239</v>
      </c>
      <c r="R79" s="98">
        <v>251</v>
      </c>
      <c r="S79" s="98">
        <v>257</v>
      </c>
      <c r="T79" s="98">
        <v>257</v>
      </c>
      <c r="U79" s="98">
        <v>289</v>
      </c>
      <c r="V79" s="98">
        <v>309</v>
      </c>
      <c r="W79" s="98">
        <v>317</v>
      </c>
      <c r="X79" s="98">
        <v>318</v>
      </c>
      <c r="Y79" s="98">
        <v>305</v>
      </c>
      <c r="Z79" s="98">
        <v>295</v>
      </c>
      <c r="AA79" s="98">
        <v>284</v>
      </c>
      <c r="AB79" s="98">
        <v>286</v>
      </c>
      <c r="AC79" s="98">
        <v>270</v>
      </c>
      <c r="AD79" s="98">
        <v>266</v>
      </c>
      <c r="AE79" s="98">
        <v>255</v>
      </c>
      <c r="AF79" s="98">
        <v>252</v>
      </c>
      <c r="AG79" s="98">
        <v>231</v>
      </c>
    </row>
    <row r="80" spans="1:33" x14ac:dyDescent="0.3">
      <c r="A80" s="7">
        <v>75</v>
      </c>
      <c r="B80" s="7" t="s">
        <v>473</v>
      </c>
      <c r="C80" s="7" t="s">
        <v>21</v>
      </c>
      <c r="D80" s="8">
        <f>'CDC Source Data'!D307</f>
        <v>382396</v>
      </c>
      <c r="E80" s="8">
        <f>'CDC Source Data'!E307</f>
        <v>121</v>
      </c>
      <c r="F80" s="31">
        <f t="shared" si="1"/>
        <v>31.758601631649718</v>
      </c>
      <c r="G80" s="9">
        <f>'CDC Source Data'!F307</f>
        <v>0.86</v>
      </c>
      <c r="H80" s="7" t="str">
        <f>'CDC Source Data'!G307</f>
        <v>Completeness of provisional 2019 data under 90% after 6 months.</v>
      </c>
      <c r="I80" s="97">
        <v>22.2</v>
      </c>
      <c r="J80" s="97">
        <v>23.2</v>
      </c>
      <c r="K80" s="98">
        <v>82</v>
      </c>
      <c r="L80" s="98">
        <v>95</v>
      </c>
      <c r="M80" s="98">
        <v>96</v>
      </c>
      <c r="N80" s="98">
        <v>97</v>
      </c>
      <c r="O80" s="98">
        <v>114</v>
      </c>
      <c r="P80" s="98">
        <v>124</v>
      </c>
      <c r="Q80" s="98">
        <v>133</v>
      </c>
      <c r="R80" s="98">
        <v>146</v>
      </c>
      <c r="S80" s="98">
        <v>141</v>
      </c>
      <c r="T80" s="98">
        <v>147</v>
      </c>
      <c r="U80" s="98">
        <v>153</v>
      </c>
      <c r="V80" s="98">
        <v>180</v>
      </c>
      <c r="W80" s="98">
        <v>204</v>
      </c>
      <c r="X80" s="98">
        <v>203</v>
      </c>
      <c r="Y80" s="98">
        <v>214</v>
      </c>
      <c r="Z80" s="98">
        <v>212</v>
      </c>
      <c r="AA80" s="98">
        <v>206</v>
      </c>
      <c r="AB80" s="98">
        <v>197</v>
      </c>
      <c r="AC80" s="98">
        <v>187</v>
      </c>
      <c r="AD80" s="98">
        <v>165</v>
      </c>
      <c r="AE80" s="98">
        <v>148</v>
      </c>
      <c r="AF80" s="98">
        <v>144</v>
      </c>
      <c r="AG80" s="98">
        <v>121</v>
      </c>
    </row>
    <row r="81" spans="1:33" x14ac:dyDescent="0.3">
      <c r="A81" s="7">
        <v>76</v>
      </c>
      <c r="B81" s="7" t="s">
        <v>474</v>
      </c>
      <c r="C81" s="7" t="s">
        <v>475</v>
      </c>
      <c r="D81" s="8">
        <f>'CDC Source Data'!D458</f>
        <v>542015</v>
      </c>
      <c r="E81" s="8">
        <f>'CDC Source Data'!E458</f>
        <v>171</v>
      </c>
      <c r="F81" s="31">
        <f t="shared" si="1"/>
        <v>31.642590403665309</v>
      </c>
      <c r="G81" s="9">
        <f>'CDC Source Data'!F458</f>
        <v>0.02</v>
      </c>
      <c r="H81" s="7">
        <f>'CDC Source Data'!G458</f>
        <v>0</v>
      </c>
      <c r="I81" s="97">
        <v>18.7</v>
      </c>
      <c r="J81" s="97">
        <v>19.5</v>
      </c>
      <c r="K81" s="98">
        <v>101</v>
      </c>
      <c r="L81" s="98">
        <v>106</v>
      </c>
      <c r="M81" s="98">
        <v>122</v>
      </c>
      <c r="N81" s="98">
        <v>149</v>
      </c>
      <c r="O81" s="98">
        <v>174</v>
      </c>
      <c r="P81" s="98">
        <v>181</v>
      </c>
      <c r="Q81" s="98">
        <v>209</v>
      </c>
      <c r="R81" s="98">
        <v>214</v>
      </c>
      <c r="S81" s="98">
        <v>220</v>
      </c>
      <c r="T81" s="98">
        <v>235</v>
      </c>
      <c r="U81" s="98">
        <v>229</v>
      </c>
      <c r="V81" s="98">
        <v>236</v>
      </c>
      <c r="W81" s="98">
        <v>230</v>
      </c>
      <c r="X81" s="98">
        <v>223</v>
      </c>
      <c r="Y81" s="98">
        <v>219</v>
      </c>
      <c r="Z81" s="98">
        <v>205</v>
      </c>
      <c r="AA81" s="98">
        <v>190</v>
      </c>
      <c r="AB81" s="98">
        <v>181</v>
      </c>
      <c r="AC81" s="98">
        <v>176</v>
      </c>
      <c r="AD81" s="98">
        <v>162</v>
      </c>
      <c r="AE81" s="98">
        <v>183</v>
      </c>
      <c r="AF81" s="98">
        <v>175</v>
      </c>
      <c r="AG81" s="98">
        <v>171</v>
      </c>
    </row>
    <row r="82" spans="1:33" x14ac:dyDescent="0.3">
      <c r="A82" s="7">
        <v>77</v>
      </c>
      <c r="B82" s="7" t="s">
        <v>476</v>
      </c>
      <c r="C82" s="7" t="s">
        <v>467</v>
      </c>
      <c r="D82" s="8">
        <f>'CDC Source Data'!D207</f>
        <v>242010</v>
      </c>
      <c r="E82" s="8">
        <f>'CDC Source Data'!E207</f>
        <v>76</v>
      </c>
      <c r="F82" s="31">
        <f t="shared" si="1"/>
        <v>31.548942372443566</v>
      </c>
      <c r="G82" s="9">
        <f>'CDC Source Data'!F207</f>
        <v>1.04</v>
      </c>
      <c r="H82" s="7" t="str">
        <f>'CDC Source Data'!G207</f>
        <v>Completeness of provisional 2019 data under 90% after 6 months.</v>
      </c>
      <c r="I82" s="97">
        <v>28.6</v>
      </c>
      <c r="J82" s="97">
        <v>29.9</v>
      </c>
      <c r="K82" s="98">
        <v>38</v>
      </c>
      <c r="L82" s="98">
        <v>42</v>
      </c>
      <c r="M82" s="98">
        <v>53</v>
      </c>
      <c r="N82" s="98">
        <v>57</v>
      </c>
      <c r="O82" s="98">
        <v>60</v>
      </c>
      <c r="P82" s="98">
        <v>65</v>
      </c>
      <c r="Q82" s="98">
        <v>61</v>
      </c>
      <c r="R82" s="98">
        <v>66</v>
      </c>
      <c r="S82" s="98">
        <v>89</v>
      </c>
      <c r="T82" s="98">
        <v>105</v>
      </c>
      <c r="U82" s="98">
        <v>130</v>
      </c>
      <c r="V82" s="98">
        <v>149</v>
      </c>
      <c r="W82" s="98">
        <v>144</v>
      </c>
      <c r="X82" s="98">
        <v>139</v>
      </c>
      <c r="Y82" s="98">
        <v>123</v>
      </c>
      <c r="Z82" s="98">
        <v>104</v>
      </c>
      <c r="AA82" s="98">
        <v>106</v>
      </c>
      <c r="AB82" s="98">
        <v>92</v>
      </c>
      <c r="AC82" s="98">
        <v>84</v>
      </c>
      <c r="AD82" s="98">
        <v>82</v>
      </c>
      <c r="AE82" s="98">
        <v>73</v>
      </c>
      <c r="AF82" s="98">
        <v>78</v>
      </c>
      <c r="AG82" s="98">
        <v>76</v>
      </c>
    </row>
    <row r="83" spans="1:33" x14ac:dyDescent="0.3">
      <c r="A83" s="7">
        <v>78</v>
      </c>
      <c r="B83" s="7" t="s">
        <v>477</v>
      </c>
      <c r="C83" s="7" t="s">
        <v>15</v>
      </c>
      <c r="D83" s="8">
        <f>'CDC Source Data'!D479</f>
        <v>1611231</v>
      </c>
      <c r="E83" s="8">
        <f>'CDC Source Data'!E479</f>
        <v>505</v>
      </c>
      <c r="F83" s="31">
        <f t="shared" si="1"/>
        <v>31.403661005743562</v>
      </c>
      <c r="G83" s="9">
        <f>'CDC Source Data'!F479</f>
        <v>0.18</v>
      </c>
      <c r="H83" s="7" t="str">
        <f>'CDC Source Data'!G479</f>
        <v>Completeness of provisional 2019 data under 90% after 6 months.</v>
      </c>
      <c r="I83" s="97">
        <v>21.7</v>
      </c>
      <c r="J83" s="97">
        <v>22.7</v>
      </c>
      <c r="K83" s="98">
        <v>313</v>
      </c>
      <c r="L83" s="98">
        <v>353</v>
      </c>
      <c r="M83" s="98">
        <v>313</v>
      </c>
      <c r="N83" s="98">
        <v>290</v>
      </c>
      <c r="O83" s="98">
        <v>330</v>
      </c>
      <c r="P83" s="98">
        <v>374</v>
      </c>
      <c r="Q83" s="98">
        <v>455</v>
      </c>
      <c r="R83" s="98">
        <v>497</v>
      </c>
      <c r="S83" s="98">
        <v>507</v>
      </c>
      <c r="T83" s="98">
        <v>477</v>
      </c>
      <c r="U83" s="98">
        <v>496</v>
      </c>
      <c r="V83" s="98">
        <v>562</v>
      </c>
      <c r="W83" s="98">
        <v>589</v>
      </c>
      <c r="X83" s="98">
        <v>633</v>
      </c>
      <c r="Y83" s="98">
        <v>646</v>
      </c>
      <c r="Z83" s="98">
        <v>638</v>
      </c>
      <c r="AA83" s="98">
        <v>631</v>
      </c>
      <c r="AB83" s="98">
        <v>594</v>
      </c>
      <c r="AC83" s="98">
        <v>545</v>
      </c>
      <c r="AD83" s="98">
        <v>532</v>
      </c>
      <c r="AE83" s="98">
        <v>495</v>
      </c>
      <c r="AF83" s="98">
        <v>498</v>
      </c>
      <c r="AG83" s="98">
        <v>505</v>
      </c>
    </row>
    <row r="84" spans="1:33" x14ac:dyDescent="0.3">
      <c r="A84" s="7">
        <v>79</v>
      </c>
      <c r="B84" s="7" t="s">
        <v>478</v>
      </c>
      <c r="C84" s="7" t="s">
        <v>447</v>
      </c>
      <c r="D84" s="8">
        <f>'CDC Source Data'!D340</f>
        <v>225786</v>
      </c>
      <c r="E84" s="8">
        <f>'CDC Source Data'!E340</f>
        <v>70</v>
      </c>
      <c r="F84" s="31">
        <f t="shared" si="1"/>
        <v>31.34249527224836</v>
      </c>
      <c r="G84" s="9">
        <f>'CDC Source Data'!F340</f>
        <v>0.06</v>
      </c>
      <c r="H84" s="7">
        <f>'CDC Source Data'!G340</f>
        <v>0</v>
      </c>
      <c r="I84" s="97">
        <v>35.700000000000003</v>
      </c>
      <c r="J84" s="97">
        <v>37.200000000000003</v>
      </c>
      <c r="K84" s="98">
        <v>107</v>
      </c>
      <c r="L84" s="98">
        <v>120</v>
      </c>
      <c r="M84" s="98">
        <v>136</v>
      </c>
      <c r="N84" s="98">
        <v>133</v>
      </c>
      <c r="O84" s="98">
        <v>147</v>
      </c>
      <c r="P84" s="98">
        <v>145</v>
      </c>
      <c r="Q84" s="98">
        <v>146</v>
      </c>
      <c r="R84" s="98">
        <v>153</v>
      </c>
      <c r="S84" s="98">
        <v>146</v>
      </c>
      <c r="T84" s="98">
        <v>143</v>
      </c>
      <c r="U84" s="98">
        <v>146</v>
      </c>
      <c r="V84" s="98">
        <v>158</v>
      </c>
      <c r="W84" s="98">
        <v>157</v>
      </c>
      <c r="X84" s="98">
        <v>162</v>
      </c>
      <c r="Y84" s="98">
        <v>162</v>
      </c>
      <c r="Z84" s="98">
        <v>157</v>
      </c>
      <c r="AA84" s="98">
        <v>148</v>
      </c>
      <c r="AB84" s="98">
        <v>141</v>
      </c>
      <c r="AC84" s="98">
        <v>128</v>
      </c>
      <c r="AD84" s="98">
        <v>108</v>
      </c>
      <c r="AE84" s="98">
        <v>99</v>
      </c>
      <c r="AF84" s="98">
        <v>87</v>
      </c>
      <c r="AG84" s="98">
        <v>70</v>
      </c>
    </row>
    <row r="85" spans="1:33" x14ac:dyDescent="0.3">
      <c r="A85" s="7">
        <v>80</v>
      </c>
      <c r="B85" s="7" t="s">
        <v>479</v>
      </c>
      <c r="C85" s="7" t="s">
        <v>480</v>
      </c>
      <c r="D85" s="8">
        <f>'CDC Source Data'!D208</f>
        <v>402279</v>
      </c>
      <c r="E85" s="8">
        <f>'CDC Source Data'!E208</f>
        <v>124</v>
      </c>
      <c r="F85" s="31">
        <f t="shared" si="1"/>
        <v>31.002807968607442</v>
      </c>
      <c r="G85" s="9">
        <f>'CDC Source Data'!F208</f>
        <v>0.88</v>
      </c>
      <c r="H85" s="7" t="str">
        <f>'CDC Source Data'!G208</f>
        <v>Completeness of provisional 2019 data under 90% after 6 months.</v>
      </c>
      <c r="I85" s="97">
        <v>30.9</v>
      </c>
      <c r="J85" s="97">
        <v>32.299999999999997</v>
      </c>
      <c r="K85" s="98">
        <v>165</v>
      </c>
      <c r="L85" s="98">
        <v>171</v>
      </c>
      <c r="M85" s="98">
        <v>180</v>
      </c>
      <c r="N85" s="98">
        <v>183</v>
      </c>
      <c r="O85" s="98">
        <v>195</v>
      </c>
      <c r="P85" s="98">
        <v>191</v>
      </c>
      <c r="Q85" s="98">
        <v>198</v>
      </c>
      <c r="R85" s="98">
        <v>205</v>
      </c>
      <c r="S85" s="98">
        <v>209</v>
      </c>
      <c r="T85" s="98">
        <v>217</v>
      </c>
      <c r="U85" s="98">
        <v>227</v>
      </c>
      <c r="V85" s="98">
        <v>240</v>
      </c>
      <c r="W85" s="98">
        <v>245</v>
      </c>
      <c r="X85" s="98">
        <v>244</v>
      </c>
      <c r="Y85" s="98">
        <v>230</v>
      </c>
      <c r="Z85" s="98">
        <v>211</v>
      </c>
      <c r="AA85" s="98">
        <v>191</v>
      </c>
      <c r="AB85" s="98">
        <v>184</v>
      </c>
      <c r="AC85" s="98">
        <v>175</v>
      </c>
      <c r="AD85" s="98">
        <v>168</v>
      </c>
      <c r="AE85" s="98">
        <v>164</v>
      </c>
      <c r="AF85" s="98">
        <v>140</v>
      </c>
      <c r="AG85" s="98">
        <v>124</v>
      </c>
    </row>
    <row r="86" spans="1:33" x14ac:dyDescent="0.3">
      <c r="A86" s="7">
        <v>81</v>
      </c>
      <c r="B86" s="7" t="s">
        <v>481</v>
      </c>
      <c r="C86" s="7" t="s">
        <v>458</v>
      </c>
      <c r="D86" s="8">
        <f>'CDC Source Data'!D247</f>
        <v>413391</v>
      </c>
      <c r="E86" s="8">
        <f>'CDC Source Data'!E247</f>
        <v>127</v>
      </c>
      <c r="F86" s="31">
        <f t="shared" si="1"/>
        <v>30.824378105742532</v>
      </c>
      <c r="G86" s="9">
        <f>'CDC Source Data'!F247</f>
        <v>0.04</v>
      </c>
      <c r="H86" s="7" t="str">
        <f>'CDC Source Data'!G247</f>
        <v>Completeness of provisional 2019 data under 90% after 6 months.</v>
      </c>
      <c r="I86" s="97">
        <v>31</v>
      </c>
      <c r="J86" s="97">
        <v>32.299999999999997</v>
      </c>
      <c r="K86" s="98">
        <v>153</v>
      </c>
      <c r="L86" s="98">
        <v>159</v>
      </c>
      <c r="M86" s="98">
        <v>167</v>
      </c>
      <c r="N86" s="98">
        <v>185</v>
      </c>
      <c r="O86" s="98">
        <v>186</v>
      </c>
      <c r="P86" s="98">
        <v>213</v>
      </c>
      <c r="Q86" s="98">
        <v>243</v>
      </c>
      <c r="R86" s="98">
        <v>235</v>
      </c>
      <c r="S86" s="98">
        <v>251</v>
      </c>
      <c r="T86" s="98">
        <v>234</v>
      </c>
      <c r="U86" s="98">
        <v>208</v>
      </c>
      <c r="V86" s="98">
        <v>207</v>
      </c>
      <c r="W86" s="98">
        <v>204</v>
      </c>
      <c r="X86" s="98">
        <v>202</v>
      </c>
      <c r="Y86" s="98">
        <v>206</v>
      </c>
      <c r="Z86" s="98">
        <v>219</v>
      </c>
      <c r="AA86" s="98">
        <v>204</v>
      </c>
      <c r="AB86" s="98">
        <v>191</v>
      </c>
      <c r="AC86" s="98">
        <v>173</v>
      </c>
      <c r="AD86" s="98">
        <v>146</v>
      </c>
      <c r="AE86" s="98">
        <v>139</v>
      </c>
      <c r="AF86" s="98">
        <v>140</v>
      </c>
      <c r="AG86" s="98">
        <v>127</v>
      </c>
    </row>
    <row r="87" spans="1:33" x14ac:dyDescent="0.3">
      <c r="A87" s="7">
        <v>82</v>
      </c>
      <c r="B87" s="7" t="s">
        <v>482</v>
      </c>
      <c r="C87" s="7" t="s">
        <v>455</v>
      </c>
      <c r="D87" s="8">
        <f>'CDC Source Data'!D22</f>
        <v>115272</v>
      </c>
      <c r="E87" s="8">
        <f>'CDC Source Data'!E22</f>
        <v>35</v>
      </c>
      <c r="F87" s="31">
        <f t="shared" si="1"/>
        <v>30.721520304022096</v>
      </c>
      <c r="G87" s="9">
        <f>'CDC Source Data'!F22</f>
        <v>0</v>
      </c>
      <c r="H87" s="7">
        <f>'CDC Source Data'!G22</f>
        <v>0</v>
      </c>
      <c r="I87" s="97">
        <v>25.6</v>
      </c>
      <c r="J87" s="97">
        <v>26.7</v>
      </c>
      <c r="K87" s="98">
        <v>39</v>
      </c>
      <c r="L87" s="98">
        <v>42</v>
      </c>
      <c r="M87" s="98">
        <v>42</v>
      </c>
      <c r="N87" s="98">
        <v>44</v>
      </c>
      <c r="O87" s="98">
        <v>54</v>
      </c>
      <c r="P87" s="98">
        <v>63</v>
      </c>
      <c r="Q87" s="98">
        <v>65</v>
      </c>
      <c r="R87" s="98">
        <v>70</v>
      </c>
      <c r="S87" s="98">
        <v>61</v>
      </c>
      <c r="T87" s="98">
        <v>57</v>
      </c>
      <c r="U87" s="98">
        <v>65</v>
      </c>
      <c r="V87" s="98">
        <v>67</v>
      </c>
      <c r="W87" s="98">
        <v>74</v>
      </c>
      <c r="X87" s="98">
        <v>77</v>
      </c>
      <c r="Y87" s="98">
        <v>68</v>
      </c>
      <c r="Z87" s="98">
        <v>63</v>
      </c>
      <c r="AA87" s="98">
        <v>57</v>
      </c>
      <c r="AB87" s="98">
        <v>48</v>
      </c>
      <c r="AC87" s="98">
        <v>46</v>
      </c>
      <c r="AD87" s="98">
        <v>42</v>
      </c>
      <c r="AE87" s="98">
        <v>34</v>
      </c>
      <c r="AF87" s="98">
        <v>36</v>
      </c>
      <c r="AG87" s="98">
        <v>35</v>
      </c>
    </row>
    <row r="88" spans="1:33" x14ac:dyDescent="0.3">
      <c r="A88" s="7">
        <v>83</v>
      </c>
      <c r="B88" s="7" t="s">
        <v>483</v>
      </c>
      <c r="C88" s="7" t="s">
        <v>467</v>
      </c>
      <c r="D88" s="8">
        <f>'CDC Source Data'!D470</f>
        <v>118624</v>
      </c>
      <c r="E88" s="8">
        <f>'CDC Source Data'!E470</f>
        <v>36</v>
      </c>
      <c r="F88" s="31">
        <f t="shared" si="1"/>
        <v>30.36296758970088</v>
      </c>
      <c r="G88" s="9">
        <f>'CDC Source Data'!F470</f>
        <v>4.0599999999999996</v>
      </c>
      <c r="H88" s="7" t="str">
        <f>'CDC Source Data'!G470</f>
        <v>Completeness of provisional 2019 data under 90% after 6 months.</v>
      </c>
      <c r="I88" s="97">
        <v>27.6</v>
      </c>
      <c r="J88" s="97">
        <v>28.8</v>
      </c>
      <c r="K88" s="98">
        <v>58</v>
      </c>
      <c r="L88" s="98">
        <v>72</v>
      </c>
      <c r="M88" s="98">
        <v>82</v>
      </c>
      <c r="N88" s="98">
        <v>82</v>
      </c>
      <c r="O88" s="98">
        <v>106</v>
      </c>
      <c r="P88" s="98">
        <v>121</v>
      </c>
      <c r="Q88" s="98">
        <v>120</v>
      </c>
      <c r="R88" s="98">
        <v>127</v>
      </c>
      <c r="S88" s="98">
        <v>113</v>
      </c>
      <c r="T88" s="98">
        <v>111</v>
      </c>
      <c r="U88" s="98">
        <v>114</v>
      </c>
      <c r="V88" s="98">
        <v>113</v>
      </c>
      <c r="W88" s="98">
        <v>112</v>
      </c>
      <c r="X88" s="98">
        <v>99</v>
      </c>
      <c r="Y88" s="98">
        <v>95</v>
      </c>
      <c r="Z88" s="98">
        <v>76</v>
      </c>
      <c r="AA88" s="98">
        <v>70</v>
      </c>
      <c r="AB88" s="98">
        <v>52</v>
      </c>
      <c r="AC88" s="98">
        <v>45</v>
      </c>
      <c r="AD88" s="98">
        <v>56</v>
      </c>
      <c r="AE88" s="98">
        <v>54</v>
      </c>
      <c r="AF88" s="98">
        <v>47</v>
      </c>
      <c r="AG88" s="98">
        <v>36</v>
      </c>
    </row>
    <row r="89" spans="1:33" x14ac:dyDescent="0.3">
      <c r="A89" s="7">
        <v>84</v>
      </c>
      <c r="B89" s="7" t="s">
        <v>484</v>
      </c>
      <c r="C89" s="7" t="s">
        <v>43</v>
      </c>
      <c r="D89" s="8">
        <f>'CDC Source Data'!D121</f>
        <v>125773</v>
      </c>
      <c r="E89" s="8">
        <f>'CDC Source Data'!E121</f>
        <v>38</v>
      </c>
      <c r="F89" s="31">
        <f t="shared" si="1"/>
        <v>30.347990288643111</v>
      </c>
      <c r="G89" s="9">
        <f>'CDC Source Data'!F121</f>
        <v>0.06</v>
      </c>
      <c r="H89" s="7">
        <f>'CDC Source Data'!G121</f>
        <v>0</v>
      </c>
      <c r="I89" s="97">
        <v>22.9</v>
      </c>
      <c r="J89" s="97">
        <v>23.9</v>
      </c>
      <c r="K89" s="98">
        <v>28</v>
      </c>
      <c r="L89" s="98">
        <v>33</v>
      </c>
      <c r="M89" s="98">
        <v>38</v>
      </c>
      <c r="N89" s="98">
        <v>45</v>
      </c>
      <c r="O89" s="98">
        <v>43</v>
      </c>
      <c r="P89" s="98">
        <v>43</v>
      </c>
      <c r="Q89" s="98">
        <v>46</v>
      </c>
      <c r="R89" s="98">
        <v>40</v>
      </c>
      <c r="S89" s="98">
        <v>49</v>
      </c>
      <c r="T89" s="98">
        <v>54</v>
      </c>
      <c r="U89" s="98">
        <v>45</v>
      </c>
      <c r="V89" s="98">
        <v>46</v>
      </c>
      <c r="W89" s="98">
        <v>41</v>
      </c>
      <c r="X89" s="98">
        <v>41</v>
      </c>
      <c r="Y89" s="98">
        <v>43</v>
      </c>
      <c r="Z89" s="98">
        <v>42</v>
      </c>
      <c r="AA89" s="98">
        <v>43</v>
      </c>
      <c r="AB89" s="98">
        <v>36</v>
      </c>
      <c r="AC89" s="98">
        <v>34</v>
      </c>
      <c r="AD89" s="98">
        <v>32</v>
      </c>
      <c r="AE89" s="98">
        <v>32</v>
      </c>
      <c r="AF89" s="98">
        <v>33</v>
      </c>
      <c r="AG89" s="98">
        <v>38</v>
      </c>
    </row>
    <row r="90" spans="1:33" x14ac:dyDescent="0.3">
      <c r="A90" s="7">
        <v>85</v>
      </c>
      <c r="B90" s="7" t="s">
        <v>485</v>
      </c>
      <c r="C90" s="7" t="s">
        <v>447</v>
      </c>
      <c r="D90" s="8">
        <f>'CDC Source Data'!D329</f>
        <v>426291</v>
      </c>
      <c r="E90" s="8">
        <f>'CDC Source Data'!E329</f>
        <v>128</v>
      </c>
      <c r="F90" s="31">
        <f t="shared" si="1"/>
        <v>30.213161807383145</v>
      </c>
      <c r="G90" s="9">
        <f>'CDC Source Data'!F329</f>
        <v>0.08</v>
      </c>
      <c r="H90" s="7" t="str">
        <f>'CDC Source Data'!G329</f>
        <v>Completeness of provisional 2019 data under 90% after 6 months.</v>
      </c>
      <c r="I90" s="97">
        <v>34.299999999999997</v>
      </c>
      <c r="J90" s="97">
        <v>35.799999999999997</v>
      </c>
      <c r="K90" s="98">
        <v>236</v>
      </c>
      <c r="L90" s="98">
        <v>261</v>
      </c>
      <c r="M90" s="98">
        <v>263</v>
      </c>
      <c r="N90" s="98">
        <v>267</v>
      </c>
      <c r="O90" s="98">
        <v>272</v>
      </c>
      <c r="P90" s="98">
        <v>237</v>
      </c>
      <c r="Q90" s="98">
        <v>246</v>
      </c>
      <c r="R90" s="98">
        <v>237</v>
      </c>
      <c r="S90" s="98">
        <v>241</v>
      </c>
      <c r="T90" s="98">
        <v>239</v>
      </c>
      <c r="U90" s="98">
        <v>234</v>
      </c>
      <c r="V90" s="98">
        <v>230</v>
      </c>
      <c r="W90" s="98">
        <v>255</v>
      </c>
      <c r="X90" s="98">
        <v>262</v>
      </c>
      <c r="Y90" s="98">
        <v>264</v>
      </c>
      <c r="Z90" s="98">
        <v>244</v>
      </c>
      <c r="AA90" s="98">
        <v>212</v>
      </c>
      <c r="AB90" s="98">
        <v>207</v>
      </c>
      <c r="AC90" s="98">
        <v>184</v>
      </c>
      <c r="AD90" s="98">
        <v>175</v>
      </c>
      <c r="AE90" s="98">
        <v>153</v>
      </c>
      <c r="AF90" s="98">
        <v>135</v>
      </c>
      <c r="AG90" s="98">
        <v>128</v>
      </c>
    </row>
    <row r="91" spans="1:33" x14ac:dyDescent="0.3">
      <c r="A91" s="7">
        <v>86</v>
      </c>
      <c r="B91" s="7" t="s">
        <v>486</v>
      </c>
      <c r="C91" s="7" t="s">
        <v>455</v>
      </c>
      <c r="D91" s="8">
        <f>'CDC Source Data'!D625</f>
        <v>220143</v>
      </c>
      <c r="E91" s="8">
        <f>'CDC Source Data'!E625</f>
        <v>66</v>
      </c>
      <c r="F91" s="31">
        <f t="shared" si="1"/>
        <v>30.026437339751485</v>
      </c>
      <c r="G91" s="9">
        <f>'CDC Source Data'!F625</f>
        <v>0</v>
      </c>
      <c r="H91" s="7">
        <f>'CDC Source Data'!G625</f>
        <v>0</v>
      </c>
      <c r="I91" s="97">
        <v>25.6</v>
      </c>
      <c r="J91" s="97">
        <v>26.7</v>
      </c>
      <c r="K91" s="98">
        <v>68</v>
      </c>
      <c r="L91" s="98">
        <v>71</v>
      </c>
      <c r="M91" s="98">
        <v>67</v>
      </c>
      <c r="N91" s="98">
        <v>74</v>
      </c>
      <c r="O91" s="98">
        <v>72</v>
      </c>
      <c r="P91" s="98">
        <v>70</v>
      </c>
      <c r="Q91" s="98">
        <v>69</v>
      </c>
      <c r="R91" s="98">
        <v>69</v>
      </c>
      <c r="S91" s="98">
        <v>77</v>
      </c>
      <c r="T91" s="98">
        <v>84</v>
      </c>
      <c r="U91" s="98">
        <v>97</v>
      </c>
      <c r="V91" s="98">
        <v>107</v>
      </c>
      <c r="W91" s="98">
        <v>89</v>
      </c>
      <c r="X91" s="98">
        <v>90</v>
      </c>
      <c r="Y91" s="98">
        <v>79</v>
      </c>
      <c r="Z91" s="98">
        <v>60</v>
      </c>
      <c r="AA91" s="98">
        <v>67</v>
      </c>
      <c r="AB91" s="98">
        <v>55</v>
      </c>
      <c r="AC91" s="98">
        <v>54</v>
      </c>
      <c r="AD91" s="98">
        <v>59</v>
      </c>
      <c r="AE91" s="98">
        <v>58</v>
      </c>
      <c r="AF91" s="98">
        <v>65</v>
      </c>
      <c r="AG91" s="98">
        <v>66</v>
      </c>
    </row>
    <row r="92" spans="1:33" x14ac:dyDescent="0.3">
      <c r="A92" s="7">
        <v>87</v>
      </c>
      <c r="B92" s="7" t="s">
        <v>487</v>
      </c>
      <c r="C92" s="7" t="s">
        <v>35</v>
      </c>
      <c r="D92" s="8">
        <f>'CDC Source Data'!D375</f>
        <v>140702</v>
      </c>
      <c r="E92" s="8">
        <f>'CDC Source Data'!E375</f>
        <v>42</v>
      </c>
      <c r="F92" s="31">
        <f t="shared" si="1"/>
        <v>29.980512666766604</v>
      </c>
      <c r="G92" s="9">
        <f>'CDC Source Data'!F375</f>
        <v>0.09</v>
      </c>
      <c r="H92" s="7">
        <f>'CDC Source Data'!G375</f>
        <v>0</v>
      </c>
      <c r="I92" s="97">
        <v>21.4</v>
      </c>
      <c r="J92" s="97">
        <v>22.3</v>
      </c>
      <c r="K92" s="98">
        <v>23</v>
      </c>
      <c r="L92" s="98">
        <v>27</v>
      </c>
      <c r="M92" s="98">
        <v>41</v>
      </c>
      <c r="N92" s="98">
        <v>45</v>
      </c>
      <c r="O92" s="98">
        <v>43</v>
      </c>
      <c r="P92" s="98">
        <v>46</v>
      </c>
      <c r="Q92" s="98">
        <v>44</v>
      </c>
      <c r="R92" s="98">
        <v>48</v>
      </c>
      <c r="S92" s="98">
        <v>60</v>
      </c>
      <c r="T92" s="98">
        <v>54</v>
      </c>
      <c r="U92" s="98">
        <v>56</v>
      </c>
      <c r="V92" s="98">
        <v>58</v>
      </c>
      <c r="W92" s="98">
        <v>57</v>
      </c>
      <c r="X92" s="98">
        <v>66</v>
      </c>
      <c r="Y92" s="98">
        <v>63</v>
      </c>
      <c r="Z92" s="98">
        <v>59</v>
      </c>
      <c r="AA92" s="98">
        <v>59</v>
      </c>
      <c r="AB92" s="98">
        <v>49</v>
      </c>
      <c r="AC92" s="98">
        <v>45</v>
      </c>
      <c r="AD92" s="98">
        <v>46</v>
      </c>
      <c r="AE92" s="98">
        <v>44</v>
      </c>
      <c r="AF92" s="98">
        <v>49</v>
      </c>
      <c r="AG92" s="98">
        <v>42</v>
      </c>
    </row>
    <row r="93" spans="1:33" x14ac:dyDescent="0.3">
      <c r="A93" s="7">
        <v>88</v>
      </c>
      <c r="B93" s="7" t="s">
        <v>488</v>
      </c>
      <c r="C93" s="7" t="s">
        <v>29</v>
      </c>
      <c r="D93" s="8">
        <f>'CDC Source Data'!D490</f>
        <v>157757</v>
      </c>
      <c r="E93" s="8">
        <f>'CDC Source Data'!E490</f>
        <v>47</v>
      </c>
      <c r="F93" s="31">
        <f t="shared" si="1"/>
        <v>29.850321957043967</v>
      </c>
      <c r="G93" s="9">
        <f>'CDC Source Data'!F490</f>
        <v>0.19</v>
      </c>
      <c r="H93" s="7" t="str">
        <f>'CDC Source Data'!G490</f>
        <v>Completeness of provisional 2019 data under 90% after 6 months.</v>
      </c>
      <c r="I93" s="97">
        <v>23.2</v>
      </c>
      <c r="J93" s="97">
        <v>24.2</v>
      </c>
      <c r="K93" s="98">
        <v>24</v>
      </c>
      <c r="L93" s="98">
        <v>32</v>
      </c>
      <c r="M93" s="98">
        <v>31</v>
      </c>
      <c r="N93" s="98">
        <v>40</v>
      </c>
      <c r="O93" s="98">
        <v>44</v>
      </c>
      <c r="P93" s="98">
        <v>44</v>
      </c>
      <c r="Q93" s="98">
        <v>50</v>
      </c>
      <c r="R93" s="98">
        <v>49</v>
      </c>
      <c r="S93" s="98">
        <v>46</v>
      </c>
      <c r="T93" s="98">
        <v>43</v>
      </c>
      <c r="U93" s="98">
        <v>39</v>
      </c>
      <c r="V93" s="98">
        <v>35</v>
      </c>
      <c r="W93" s="98">
        <v>37</v>
      </c>
      <c r="X93" s="98">
        <v>40</v>
      </c>
      <c r="Y93" s="98">
        <v>42</v>
      </c>
      <c r="Z93" s="98">
        <v>43</v>
      </c>
      <c r="AA93" s="98">
        <v>39</v>
      </c>
      <c r="AB93" s="98">
        <v>36</v>
      </c>
      <c r="AC93" s="98">
        <v>29</v>
      </c>
      <c r="AD93" s="98">
        <v>28</v>
      </c>
      <c r="AE93" s="98">
        <v>33</v>
      </c>
      <c r="AF93" s="98">
        <v>40</v>
      </c>
      <c r="AG93" s="98">
        <v>47</v>
      </c>
    </row>
    <row r="94" spans="1:33" x14ac:dyDescent="0.3">
      <c r="A94" s="7">
        <v>89</v>
      </c>
      <c r="B94" s="7" t="s">
        <v>489</v>
      </c>
      <c r="C94" s="7" t="s">
        <v>490</v>
      </c>
      <c r="D94" s="8">
        <f>'CDC Source Data'!D127</f>
        <v>121396</v>
      </c>
      <c r="E94" s="8">
        <f>'CDC Source Data'!E127</f>
        <v>36</v>
      </c>
      <c r="F94" s="31">
        <f t="shared" si="1"/>
        <v>29.792655793403778</v>
      </c>
      <c r="G94" s="9">
        <f>'CDC Source Data'!F127</f>
        <v>0.16</v>
      </c>
      <c r="H94" s="7" t="str">
        <f>'CDC Source Data'!G127</f>
        <v>Completeness of provisional 2019 data under 90% after 6 months.</v>
      </c>
      <c r="I94" s="97">
        <v>17.5</v>
      </c>
      <c r="J94" s="97">
        <v>18.3</v>
      </c>
      <c r="K94" s="98">
        <v>21</v>
      </c>
      <c r="L94" s="98">
        <v>26</v>
      </c>
      <c r="M94" s="98">
        <v>30</v>
      </c>
      <c r="N94" s="98">
        <v>37</v>
      </c>
      <c r="O94" s="98">
        <v>39</v>
      </c>
      <c r="P94" s="98">
        <v>34</v>
      </c>
      <c r="Q94" s="98">
        <v>33</v>
      </c>
      <c r="R94" s="98">
        <v>31</v>
      </c>
      <c r="S94" s="98">
        <v>29</v>
      </c>
      <c r="T94" s="98">
        <v>34</v>
      </c>
      <c r="U94" s="98">
        <v>37</v>
      </c>
      <c r="V94" s="98">
        <v>29</v>
      </c>
      <c r="W94" s="98">
        <v>29</v>
      </c>
      <c r="X94" s="98">
        <v>33</v>
      </c>
      <c r="Y94" s="98">
        <v>30</v>
      </c>
      <c r="Z94" s="98">
        <v>32</v>
      </c>
      <c r="AA94" s="98">
        <v>37</v>
      </c>
      <c r="AB94" s="98">
        <v>28</v>
      </c>
      <c r="AC94" s="98">
        <v>27</v>
      </c>
      <c r="AD94" s="98">
        <v>36</v>
      </c>
      <c r="AE94" s="98">
        <v>31</v>
      </c>
      <c r="AF94" s="98">
        <v>34</v>
      </c>
      <c r="AG94" s="98">
        <v>36</v>
      </c>
    </row>
    <row r="95" spans="1:33" x14ac:dyDescent="0.3">
      <c r="A95" s="7">
        <v>90</v>
      </c>
      <c r="B95" s="7" t="s">
        <v>491</v>
      </c>
      <c r="C95" s="7" t="s">
        <v>458</v>
      </c>
      <c r="D95" s="8">
        <f>'CDC Source Data'!D304</f>
        <v>111652</v>
      </c>
      <c r="E95" s="8">
        <f>'CDC Source Data'!E304</f>
        <v>33</v>
      </c>
      <c r="F95" s="31">
        <f t="shared" si="1"/>
        <v>29.655013344756004</v>
      </c>
      <c r="G95" s="9">
        <f>'CDC Source Data'!F304</f>
        <v>0</v>
      </c>
      <c r="H95" s="7">
        <f>'CDC Source Data'!G304</f>
        <v>0</v>
      </c>
      <c r="I95" s="97">
        <v>25.1</v>
      </c>
      <c r="J95" s="97">
        <v>26.2</v>
      </c>
      <c r="K95" s="98">
        <v>39</v>
      </c>
      <c r="L95" s="98">
        <v>45</v>
      </c>
      <c r="M95" s="98">
        <v>53</v>
      </c>
      <c r="N95" s="98">
        <v>56</v>
      </c>
      <c r="O95" s="98">
        <v>58</v>
      </c>
      <c r="P95" s="98">
        <v>59</v>
      </c>
      <c r="Q95" s="98">
        <v>52</v>
      </c>
      <c r="R95" s="98">
        <v>55</v>
      </c>
      <c r="S95" s="98">
        <v>59</v>
      </c>
      <c r="T95" s="98">
        <v>53</v>
      </c>
      <c r="U95" s="98">
        <v>55</v>
      </c>
      <c r="V95" s="98">
        <v>55</v>
      </c>
      <c r="W95" s="98">
        <v>55</v>
      </c>
      <c r="X95" s="98">
        <v>66</v>
      </c>
      <c r="Y95" s="98">
        <v>67</v>
      </c>
      <c r="Z95" s="98">
        <v>65</v>
      </c>
      <c r="AA95" s="98">
        <v>62</v>
      </c>
      <c r="AB95" s="98">
        <v>45</v>
      </c>
      <c r="AC95" s="98">
        <v>39</v>
      </c>
      <c r="AD95" s="98">
        <v>35</v>
      </c>
      <c r="AE95" s="98">
        <v>33</v>
      </c>
      <c r="AF95" s="98">
        <v>38</v>
      </c>
      <c r="AG95" s="98">
        <v>33</v>
      </c>
    </row>
    <row r="96" spans="1:33" x14ac:dyDescent="0.3">
      <c r="A96" s="7">
        <v>91</v>
      </c>
      <c r="B96" s="7" t="s">
        <v>256</v>
      </c>
      <c r="C96" s="7" t="s">
        <v>21</v>
      </c>
      <c r="D96" s="8">
        <f>'CDC Source Data'!D261</f>
        <v>221331</v>
      </c>
      <c r="E96" s="8">
        <f>'CDC Source Data'!E261</f>
        <v>65</v>
      </c>
      <c r="F96" s="31">
        <f t="shared" si="1"/>
        <v>29.556120803926486</v>
      </c>
      <c r="G96" s="9">
        <f>'CDC Source Data'!F261</f>
        <v>0.81</v>
      </c>
      <c r="H96" s="7" t="str">
        <f>'CDC Source Data'!G261</f>
        <v>Completeness of provisional 2019 data under 90% after 6 months.</v>
      </c>
      <c r="I96" s="97">
        <v>21.6</v>
      </c>
      <c r="J96" s="97">
        <v>22.6</v>
      </c>
      <c r="K96" s="98">
        <v>30</v>
      </c>
      <c r="L96" s="98">
        <v>35</v>
      </c>
      <c r="M96" s="98">
        <v>38</v>
      </c>
      <c r="N96" s="98">
        <v>36</v>
      </c>
      <c r="O96" s="98">
        <v>49</v>
      </c>
      <c r="P96" s="98">
        <v>57</v>
      </c>
      <c r="Q96" s="98">
        <v>69</v>
      </c>
      <c r="R96" s="98">
        <v>83</v>
      </c>
      <c r="S96" s="98">
        <v>82</v>
      </c>
      <c r="T96" s="98">
        <v>77</v>
      </c>
      <c r="U96" s="98">
        <v>75</v>
      </c>
      <c r="V96" s="98">
        <v>80</v>
      </c>
      <c r="W96" s="98">
        <v>91</v>
      </c>
      <c r="X96" s="98">
        <v>104</v>
      </c>
      <c r="Y96" s="98">
        <v>124</v>
      </c>
      <c r="Z96" s="98">
        <v>125</v>
      </c>
      <c r="AA96" s="98">
        <v>117</v>
      </c>
      <c r="AB96" s="98">
        <v>111</v>
      </c>
      <c r="AC96" s="98">
        <v>91</v>
      </c>
      <c r="AD96" s="98">
        <v>90</v>
      </c>
      <c r="AE96" s="98">
        <v>89</v>
      </c>
      <c r="AF96" s="98">
        <v>80</v>
      </c>
      <c r="AG96" s="98">
        <v>65</v>
      </c>
    </row>
    <row r="97" spans="1:33" x14ac:dyDescent="0.3">
      <c r="A97" s="7">
        <v>92</v>
      </c>
      <c r="B97" s="7" t="s">
        <v>492</v>
      </c>
      <c r="C97" s="7" t="s">
        <v>15</v>
      </c>
      <c r="D97" s="8">
        <f>'CDC Source Data'!D397</f>
        <v>102195</v>
      </c>
      <c r="E97" s="8">
        <f>'CDC Source Data'!E397</f>
        <v>30</v>
      </c>
      <c r="F97" s="31">
        <f t="shared" si="1"/>
        <v>29.367779479602952</v>
      </c>
      <c r="G97" s="9">
        <f>'CDC Source Data'!F397</f>
        <v>0.17</v>
      </c>
      <c r="H97" s="7">
        <f>'CDC Source Data'!G397</f>
        <v>0</v>
      </c>
      <c r="I97" s="97">
        <v>24.5</v>
      </c>
      <c r="J97" s="97">
        <v>25.6</v>
      </c>
      <c r="K97" s="98">
        <v>19</v>
      </c>
      <c r="L97" s="98">
        <v>26</v>
      </c>
      <c r="M97" s="98">
        <v>34</v>
      </c>
      <c r="N97" s="98">
        <v>37</v>
      </c>
      <c r="O97" s="98">
        <v>38</v>
      </c>
      <c r="P97" s="98">
        <v>36</v>
      </c>
      <c r="Q97" s="98">
        <v>39</v>
      </c>
      <c r="R97" s="98">
        <v>43</v>
      </c>
      <c r="S97" s="98">
        <v>43</v>
      </c>
      <c r="T97" s="98">
        <v>40</v>
      </c>
      <c r="U97" s="98">
        <v>37</v>
      </c>
      <c r="V97" s="98">
        <v>34</v>
      </c>
      <c r="W97" s="98">
        <v>34</v>
      </c>
      <c r="X97" s="98">
        <v>40</v>
      </c>
      <c r="Y97" s="98">
        <v>42</v>
      </c>
      <c r="Z97" s="98">
        <v>47</v>
      </c>
      <c r="AA97" s="98">
        <v>51</v>
      </c>
      <c r="AB97" s="98">
        <v>51</v>
      </c>
      <c r="AC97" s="98">
        <v>48</v>
      </c>
      <c r="AD97" s="98">
        <v>39</v>
      </c>
      <c r="AE97" s="98">
        <v>36</v>
      </c>
      <c r="AF97" s="98">
        <v>28</v>
      </c>
      <c r="AG97" s="98">
        <v>30</v>
      </c>
    </row>
    <row r="98" spans="1:33" x14ac:dyDescent="0.3">
      <c r="A98" s="7">
        <v>93</v>
      </c>
      <c r="B98" s="7" t="s">
        <v>493</v>
      </c>
      <c r="C98" s="7" t="s">
        <v>453</v>
      </c>
      <c r="D98" s="8">
        <f>'CDC Source Data'!D224</f>
        <v>464151</v>
      </c>
      <c r="E98" s="8">
        <f>'CDC Source Data'!E224</f>
        <v>136</v>
      </c>
      <c r="F98" s="31">
        <f t="shared" si="1"/>
        <v>29.355643622486422</v>
      </c>
      <c r="G98" s="9">
        <f>'CDC Source Data'!F224</f>
        <v>0.04</v>
      </c>
      <c r="H98" s="7">
        <f>'CDC Source Data'!G224</f>
        <v>0</v>
      </c>
      <c r="I98" s="97">
        <v>29.9</v>
      </c>
      <c r="J98" s="97">
        <v>31.3</v>
      </c>
      <c r="K98" s="98">
        <v>227</v>
      </c>
      <c r="L98" s="98">
        <v>259</v>
      </c>
      <c r="M98" s="98">
        <v>262</v>
      </c>
      <c r="N98" s="98">
        <v>239</v>
      </c>
      <c r="O98" s="98">
        <v>230</v>
      </c>
      <c r="P98" s="98">
        <v>220</v>
      </c>
      <c r="Q98" s="98">
        <v>233</v>
      </c>
      <c r="R98" s="98">
        <v>230</v>
      </c>
      <c r="S98" s="98">
        <v>234</v>
      </c>
      <c r="T98" s="98">
        <v>222</v>
      </c>
      <c r="U98" s="98">
        <v>226</v>
      </c>
      <c r="V98" s="98">
        <v>252</v>
      </c>
      <c r="W98" s="98">
        <v>242</v>
      </c>
      <c r="X98" s="98">
        <v>257</v>
      </c>
      <c r="Y98" s="98">
        <v>276</v>
      </c>
      <c r="Z98" s="98">
        <v>255</v>
      </c>
      <c r="AA98" s="98">
        <v>253</v>
      </c>
      <c r="AB98" s="98">
        <v>240</v>
      </c>
      <c r="AC98" s="98">
        <v>189</v>
      </c>
      <c r="AD98" s="98">
        <v>173</v>
      </c>
      <c r="AE98" s="98">
        <v>158</v>
      </c>
      <c r="AF98" s="98">
        <v>144</v>
      </c>
      <c r="AG98" s="98">
        <v>136</v>
      </c>
    </row>
    <row r="99" spans="1:33" x14ac:dyDescent="0.3">
      <c r="A99" s="7">
        <v>94</v>
      </c>
      <c r="B99" s="7" t="s">
        <v>494</v>
      </c>
      <c r="C99" s="7" t="s">
        <v>19</v>
      </c>
      <c r="D99" s="8">
        <f>'CDC Source Data'!D17</f>
        <v>1231814</v>
      </c>
      <c r="E99" s="8">
        <f>'CDC Source Data'!E17</f>
        <v>355</v>
      </c>
      <c r="F99" s="31">
        <f t="shared" si="1"/>
        <v>29.300809434860639</v>
      </c>
      <c r="G99" s="9">
        <f>'CDC Source Data'!F17</f>
        <v>0.43</v>
      </c>
      <c r="H99" s="7" t="str">
        <f>'CDC Source Data'!G17</f>
        <v>Completeness of provisional 2019 data under 90% after 6 months.</v>
      </c>
      <c r="I99" s="97">
        <v>38</v>
      </c>
      <c r="J99" s="97">
        <v>39.700000000000003</v>
      </c>
      <c r="K99" s="98">
        <v>557</v>
      </c>
      <c r="L99" s="98">
        <v>633</v>
      </c>
      <c r="M99" s="98">
        <v>644</v>
      </c>
      <c r="N99" s="98">
        <v>627</v>
      </c>
      <c r="O99" s="98">
        <v>638</v>
      </c>
      <c r="P99" s="98">
        <v>646</v>
      </c>
      <c r="Q99" s="98">
        <v>660</v>
      </c>
      <c r="R99" s="98">
        <v>667</v>
      </c>
      <c r="S99" s="98">
        <v>665</v>
      </c>
      <c r="T99" s="98">
        <v>665</v>
      </c>
      <c r="U99" s="98">
        <v>626</v>
      </c>
      <c r="V99" s="98">
        <v>637</v>
      </c>
      <c r="W99" s="98">
        <v>630</v>
      </c>
      <c r="X99" s="98">
        <v>627</v>
      </c>
      <c r="Y99" s="98">
        <v>626</v>
      </c>
      <c r="Z99" s="98">
        <v>618</v>
      </c>
      <c r="AA99" s="98">
        <v>575</v>
      </c>
      <c r="AB99" s="98">
        <v>512</v>
      </c>
      <c r="AC99" s="98">
        <v>464</v>
      </c>
      <c r="AD99" s="98">
        <v>397</v>
      </c>
      <c r="AE99" s="98">
        <v>395</v>
      </c>
      <c r="AF99" s="98">
        <v>376</v>
      </c>
      <c r="AG99" s="98">
        <v>355</v>
      </c>
    </row>
    <row r="100" spans="1:33" x14ac:dyDescent="0.3">
      <c r="A100" s="7">
        <v>95</v>
      </c>
      <c r="B100" s="7" t="s">
        <v>495</v>
      </c>
      <c r="C100" s="7" t="s">
        <v>15</v>
      </c>
      <c r="D100" s="8">
        <f>'CDC Source Data'!D494</f>
        <v>262406</v>
      </c>
      <c r="E100" s="8">
        <f>'CDC Source Data'!E494</f>
        <v>75</v>
      </c>
      <c r="F100" s="31">
        <f t="shared" si="1"/>
        <v>28.819286028572499</v>
      </c>
      <c r="G100" s="9">
        <f>'CDC Source Data'!F494</f>
        <v>0.05</v>
      </c>
      <c r="H100" s="7" t="str">
        <f>'CDC Source Data'!G494</f>
        <v>Completeness of provisional 2019 data under 90% after 6 months.</v>
      </c>
      <c r="I100" s="97">
        <v>21.5</v>
      </c>
      <c r="J100" s="97">
        <v>22.4</v>
      </c>
      <c r="K100" s="98">
        <v>55</v>
      </c>
      <c r="L100" s="98">
        <v>47</v>
      </c>
      <c r="M100" s="98">
        <v>52</v>
      </c>
      <c r="N100" s="98">
        <v>60</v>
      </c>
      <c r="O100" s="98">
        <v>63</v>
      </c>
      <c r="P100" s="98">
        <v>72</v>
      </c>
      <c r="Q100" s="98">
        <v>84</v>
      </c>
      <c r="R100" s="98">
        <v>83</v>
      </c>
      <c r="S100" s="98">
        <v>82</v>
      </c>
      <c r="T100" s="98">
        <v>83</v>
      </c>
      <c r="U100" s="98">
        <v>80</v>
      </c>
      <c r="V100" s="98">
        <v>93</v>
      </c>
      <c r="W100" s="98">
        <v>110</v>
      </c>
      <c r="X100" s="98">
        <v>129</v>
      </c>
      <c r="Y100" s="98">
        <v>138</v>
      </c>
      <c r="Z100" s="98">
        <v>136</v>
      </c>
      <c r="AA100" s="98">
        <v>128</v>
      </c>
      <c r="AB100" s="98">
        <v>111</v>
      </c>
      <c r="AC100" s="98">
        <v>107</v>
      </c>
      <c r="AD100" s="98">
        <v>95</v>
      </c>
      <c r="AE100" s="98">
        <v>89</v>
      </c>
      <c r="AF100" s="98">
        <v>86</v>
      </c>
      <c r="AG100" s="98">
        <v>75</v>
      </c>
    </row>
    <row r="101" spans="1:33" x14ac:dyDescent="0.3">
      <c r="A101" s="7">
        <v>96</v>
      </c>
      <c r="B101" s="7" t="s">
        <v>496</v>
      </c>
      <c r="C101" s="7" t="s">
        <v>21</v>
      </c>
      <c r="D101" s="8">
        <f>'CDC Source Data'!D161</f>
        <v>112255</v>
      </c>
      <c r="E101" s="8">
        <f>'CDC Source Data'!E161</f>
        <v>32</v>
      </c>
      <c r="F101" s="31">
        <f t="shared" si="1"/>
        <v>28.581663529035161</v>
      </c>
      <c r="G101" s="9">
        <f>'CDC Source Data'!F161</f>
        <v>0.35</v>
      </c>
      <c r="H101" s="7" t="str">
        <f>'CDC Source Data'!G161</f>
        <v>Completeness of provisional 2019 data under 90% after 6 months.</v>
      </c>
      <c r="I101" s="97">
        <v>18.100000000000001</v>
      </c>
      <c r="J101" s="97">
        <v>18.899999999999999</v>
      </c>
      <c r="K101" s="98">
        <v>19</v>
      </c>
      <c r="L101" s="98">
        <v>23</v>
      </c>
      <c r="M101" s="98">
        <v>22</v>
      </c>
      <c r="N101" s="98">
        <v>23</v>
      </c>
      <c r="O101" s="98">
        <v>31</v>
      </c>
      <c r="P101" s="98">
        <v>31</v>
      </c>
      <c r="Q101" s="98">
        <v>30</v>
      </c>
      <c r="R101" s="98">
        <v>34</v>
      </c>
      <c r="S101" s="98">
        <v>31</v>
      </c>
      <c r="T101" s="98">
        <v>34</v>
      </c>
      <c r="U101" s="98">
        <v>38</v>
      </c>
      <c r="V101" s="98">
        <v>42</v>
      </c>
      <c r="W101" s="98">
        <v>47</v>
      </c>
      <c r="X101" s="98">
        <v>45</v>
      </c>
      <c r="Y101" s="98">
        <v>47</v>
      </c>
      <c r="Z101" s="98">
        <v>43</v>
      </c>
      <c r="AA101" s="98">
        <v>40</v>
      </c>
      <c r="AB101" s="98">
        <v>45</v>
      </c>
      <c r="AC101" s="98">
        <v>40</v>
      </c>
      <c r="AD101" s="98">
        <v>40</v>
      </c>
      <c r="AE101" s="98">
        <v>39</v>
      </c>
      <c r="AF101" s="98">
        <v>32</v>
      </c>
      <c r="AG101" s="98">
        <v>32</v>
      </c>
    </row>
    <row r="102" spans="1:33" x14ac:dyDescent="0.3">
      <c r="A102" s="10">
        <v>97</v>
      </c>
      <c r="B102" s="10" t="s">
        <v>461</v>
      </c>
      <c r="C102" s="10" t="s">
        <v>13</v>
      </c>
      <c r="D102" s="11">
        <f>'CDC Source Data'!D110</f>
        <v>527269</v>
      </c>
      <c r="E102" s="11">
        <f>'CDC Source Data'!E110</f>
        <v>150</v>
      </c>
      <c r="F102" s="33">
        <f t="shared" si="1"/>
        <v>28.506525321811946</v>
      </c>
      <c r="G102" s="12">
        <f>'CDC Source Data'!F110</f>
        <v>0.13</v>
      </c>
      <c r="H102" s="10" t="str">
        <f>'CDC Source Data'!G110</f>
        <v>Completeness of provisional 2019 data under 90% after 6 months.</v>
      </c>
      <c r="I102" s="101">
        <v>18.2</v>
      </c>
      <c r="J102" s="101">
        <v>19</v>
      </c>
      <c r="K102" s="102">
        <v>72</v>
      </c>
      <c r="L102" s="102">
        <v>89</v>
      </c>
      <c r="M102" s="102">
        <v>90</v>
      </c>
      <c r="N102" s="102">
        <v>113</v>
      </c>
      <c r="O102" s="102">
        <v>117</v>
      </c>
      <c r="P102" s="102">
        <v>112</v>
      </c>
      <c r="Q102" s="102">
        <v>119</v>
      </c>
      <c r="R102" s="102">
        <v>116</v>
      </c>
      <c r="S102" s="102">
        <v>122</v>
      </c>
      <c r="T102" s="102">
        <v>120</v>
      </c>
      <c r="U102" s="102">
        <v>128</v>
      </c>
      <c r="V102" s="102">
        <v>130</v>
      </c>
      <c r="W102" s="102">
        <v>126</v>
      </c>
      <c r="X102" s="102">
        <v>146</v>
      </c>
      <c r="Y102" s="102">
        <v>151</v>
      </c>
      <c r="Z102" s="102">
        <v>161</v>
      </c>
      <c r="AA102" s="102">
        <v>181</v>
      </c>
      <c r="AB102" s="102">
        <v>186</v>
      </c>
      <c r="AC102" s="102">
        <v>168</v>
      </c>
      <c r="AD102" s="102">
        <v>157</v>
      </c>
      <c r="AE102" s="102">
        <v>152</v>
      </c>
      <c r="AF102" s="102">
        <v>142</v>
      </c>
      <c r="AG102" s="102">
        <v>150</v>
      </c>
    </row>
    <row r="103" spans="1:33" x14ac:dyDescent="0.3">
      <c r="A103" s="7">
        <v>98</v>
      </c>
      <c r="B103" s="7" t="s">
        <v>497</v>
      </c>
      <c r="C103" s="7" t="s">
        <v>50</v>
      </c>
      <c r="D103" s="8">
        <f>'CDC Source Data'!D62</f>
        <v>658447</v>
      </c>
      <c r="E103" s="8">
        <f>'CDC Source Data'!E62</f>
        <v>187</v>
      </c>
      <c r="F103" s="31">
        <f t="shared" si="1"/>
        <v>28.44847696337164</v>
      </c>
      <c r="G103" s="9">
        <f>'CDC Source Data'!F62</f>
        <v>0.38</v>
      </c>
      <c r="H103" s="7" t="str">
        <f>'CDC Source Data'!G62</f>
        <v>Completeness of provisional 2019 data under 90% after 6 months.</v>
      </c>
      <c r="I103" s="97">
        <v>39</v>
      </c>
      <c r="J103" s="97">
        <v>40.700000000000003</v>
      </c>
      <c r="K103" s="98">
        <v>320</v>
      </c>
      <c r="L103" s="98">
        <v>346</v>
      </c>
      <c r="M103" s="98">
        <v>373</v>
      </c>
      <c r="N103" s="98">
        <v>361</v>
      </c>
      <c r="O103" s="98">
        <v>364</v>
      </c>
      <c r="P103" s="98">
        <v>330</v>
      </c>
      <c r="Q103" s="98">
        <v>351</v>
      </c>
      <c r="R103" s="98">
        <v>348</v>
      </c>
      <c r="S103" s="98">
        <v>319</v>
      </c>
      <c r="T103" s="98">
        <v>300</v>
      </c>
      <c r="U103" s="98">
        <v>223</v>
      </c>
      <c r="V103" s="98">
        <v>182</v>
      </c>
      <c r="W103" s="98">
        <v>198</v>
      </c>
      <c r="X103" s="98">
        <v>219</v>
      </c>
      <c r="Y103" s="98">
        <v>268</v>
      </c>
      <c r="Z103" s="98">
        <v>292</v>
      </c>
      <c r="AA103" s="98">
        <v>286</v>
      </c>
      <c r="AB103" s="98">
        <v>270</v>
      </c>
      <c r="AC103" s="98">
        <v>224</v>
      </c>
      <c r="AD103" s="98">
        <v>222</v>
      </c>
      <c r="AE103" s="98">
        <v>200</v>
      </c>
      <c r="AF103" s="98">
        <v>188</v>
      </c>
      <c r="AG103" s="98">
        <v>187</v>
      </c>
    </row>
    <row r="104" spans="1:33" x14ac:dyDescent="0.3">
      <c r="A104" s="7">
        <v>99</v>
      </c>
      <c r="B104" s="7" t="s">
        <v>498</v>
      </c>
      <c r="C104" s="7" t="s">
        <v>463</v>
      </c>
      <c r="D104" s="8">
        <f>'CDC Source Data'!D81</f>
        <v>116427</v>
      </c>
      <c r="E104" s="8">
        <f>'CDC Source Data'!E81</f>
        <v>33</v>
      </c>
      <c r="F104" s="31">
        <f t="shared" si="1"/>
        <v>28.400159769882769</v>
      </c>
      <c r="G104" s="9">
        <f>'CDC Source Data'!F81</f>
        <v>0.12</v>
      </c>
      <c r="H104" s="7" t="str">
        <f>'CDC Source Data'!G81</f>
        <v>Completeness of provisional 2019 data under 90% after 6 months.</v>
      </c>
      <c r="I104" s="97">
        <v>18.100000000000001</v>
      </c>
      <c r="J104" s="97">
        <v>18.899999999999999</v>
      </c>
      <c r="K104" s="98">
        <v>24</v>
      </c>
      <c r="L104" s="98">
        <v>34</v>
      </c>
      <c r="M104" s="98">
        <v>37</v>
      </c>
      <c r="N104" s="98">
        <v>29</v>
      </c>
      <c r="O104" s="98">
        <v>27</v>
      </c>
      <c r="P104" s="98">
        <v>23</v>
      </c>
      <c r="Q104" s="98">
        <v>25</v>
      </c>
      <c r="R104" s="98">
        <v>31</v>
      </c>
      <c r="S104" s="98">
        <v>37</v>
      </c>
      <c r="T104" s="98">
        <v>44</v>
      </c>
      <c r="U104" s="98">
        <v>46</v>
      </c>
      <c r="V104" s="98">
        <v>56</v>
      </c>
      <c r="W104" s="98">
        <v>63</v>
      </c>
      <c r="X104" s="98">
        <v>58</v>
      </c>
      <c r="Y104" s="98">
        <v>58</v>
      </c>
      <c r="Z104" s="98">
        <v>58</v>
      </c>
      <c r="AA104" s="98">
        <v>51</v>
      </c>
      <c r="AB104" s="98">
        <v>47</v>
      </c>
      <c r="AC104" s="98">
        <v>38</v>
      </c>
      <c r="AD104" s="98">
        <v>28</v>
      </c>
      <c r="AE104" s="98">
        <v>23</v>
      </c>
      <c r="AF104" s="98">
        <v>28</v>
      </c>
      <c r="AG104" s="98">
        <v>33</v>
      </c>
    </row>
    <row r="105" spans="1:33" x14ac:dyDescent="0.3">
      <c r="A105" s="7">
        <v>100</v>
      </c>
      <c r="B105" s="7" t="s">
        <v>499</v>
      </c>
      <c r="C105" s="7" t="s">
        <v>29</v>
      </c>
      <c r="D105" s="8">
        <f>'CDC Source Data'!D164</f>
        <v>229366</v>
      </c>
      <c r="E105" s="8">
        <f>'CDC Source Data'!E164</f>
        <v>65</v>
      </c>
      <c r="F105" s="31">
        <f t="shared" si="1"/>
        <v>28.343940838465304</v>
      </c>
      <c r="G105" s="9">
        <f>'CDC Source Data'!F164</f>
        <v>0</v>
      </c>
      <c r="H105" s="7" t="str">
        <f>'CDC Source Data'!G164</f>
        <v>Completeness of provisional 2019 data under 90% after 6 months.</v>
      </c>
      <c r="I105" s="97">
        <v>21</v>
      </c>
      <c r="J105" s="97">
        <v>21.9</v>
      </c>
      <c r="K105" s="98">
        <v>38</v>
      </c>
      <c r="L105" s="98">
        <v>32</v>
      </c>
      <c r="M105" s="98">
        <v>37</v>
      </c>
      <c r="N105" s="98">
        <v>37</v>
      </c>
      <c r="O105" s="98">
        <v>44</v>
      </c>
      <c r="P105" s="98">
        <v>54</v>
      </c>
      <c r="Q105" s="98">
        <v>59</v>
      </c>
      <c r="R105" s="98">
        <v>60</v>
      </c>
      <c r="S105" s="98">
        <v>67</v>
      </c>
      <c r="T105" s="98">
        <v>62</v>
      </c>
      <c r="U105" s="98">
        <v>59</v>
      </c>
      <c r="V105" s="98">
        <v>64</v>
      </c>
      <c r="W105" s="98">
        <v>59</v>
      </c>
      <c r="X105" s="98">
        <v>74</v>
      </c>
      <c r="Y105" s="98">
        <v>80</v>
      </c>
      <c r="Z105" s="98">
        <v>74</v>
      </c>
      <c r="AA105" s="98">
        <v>70</v>
      </c>
      <c r="AB105" s="98">
        <v>58</v>
      </c>
      <c r="AC105" s="98">
        <v>56</v>
      </c>
      <c r="AD105" s="98">
        <v>55</v>
      </c>
      <c r="AE105" s="98">
        <v>64</v>
      </c>
      <c r="AF105" s="98">
        <v>69</v>
      </c>
      <c r="AG105" s="98">
        <v>65</v>
      </c>
    </row>
    <row r="106" spans="1:33" x14ac:dyDescent="0.3">
      <c r="A106" s="7">
        <v>101</v>
      </c>
      <c r="B106" s="7" t="s">
        <v>500</v>
      </c>
      <c r="C106" s="7" t="s">
        <v>35</v>
      </c>
      <c r="D106" s="8">
        <f>'CDC Source Data'!D296</f>
        <v>111348</v>
      </c>
      <c r="E106" s="8">
        <f>'CDC Source Data'!E296</f>
        <v>31</v>
      </c>
      <c r="F106" s="31">
        <f t="shared" si="1"/>
        <v>28.338986597839263</v>
      </c>
      <c r="G106" s="9">
        <f>'CDC Source Data'!F296</f>
        <v>0</v>
      </c>
      <c r="H106" s="7">
        <f>'CDC Source Data'!G296</f>
        <v>0</v>
      </c>
      <c r="I106" s="97">
        <v>23.8</v>
      </c>
      <c r="J106" s="97">
        <v>24.8</v>
      </c>
      <c r="K106" s="98">
        <v>30</v>
      </c>
      <c r="L106" s="98">
        <v>37</v>
      </c>
      <c r="M106" s="98">
        <v>39</v>
      </c>
      <c r="N106" s="98">
        <v>47</v>
      </c>
      <c r="O106" s="98">
        <v>52</v>
      </c>
      <c r="P106" s="98">
        <v>51</v>
      </c>
      <c r="Q106" s="98">
        <v>54</v>
      </c>
      <c r="R106" s="98">
        <v>51</v>
      </c>
      <c r="S106" s="98">
        <v>57</v>
      </c>
      <c r="T106" s="98">
        <v>55</v>
      </c>
      <c r="U106" s="98">
        <v>53</v>
      </c>
      <c r="V106" s="98">
        <v>56</v>
      </c>
      <c r="W106" s="98">
        <v>49</v>
      </c>
      <c r="X106" s="98">
        <v>50</v>
      </c>
      <c r="Y106" s="98">
        <v>46</v>
      </c>
      <c r="Z106" s="98">
        <v>40</v>
      </c>
      <c r="AA106" s="98">
        <v>35</v>
      </c>
      <c r="AB106" s="98">
        <v>30</v>
      </c>
      <c r="AC106" s="98">
        <v>33</v>
      </c>
      <c r="AD106" s="98">
        <v>34</v>
      </c>
      <c r="AE106" s="98">
        <v>37</v>
      </c>
      <c r="AF106" s="98">
        <v>38</v>
      </c>
      <c r="AG106" s="98">
        <v>31</v>
      </c>
    </row>
    <row r="107" spans="1:33" x14ac:dyDescent="0.3">
      <c r="A107" s="7">
        <v>102</v>
      </c>
      <c r="B107" s="7" t="s">
        <v>501</v>
      </c>
      <c r="C107" s="7" t="s">
        <v>24</v>
      </c>
      <c r="D107" s="8">
        <f>'CDC Source Data'!D462</f>
        <v>125899</v>
      </c>
      <c r="E107" s="8">
        <f>'CDC Source Data'!E462</f>
        <v>35</v>
      </c>
      <c r="F107" s="31">
        <f t="shared" si="1"/>
        <v>27.840643747530265</v>
      </c>
      <c r="G107" s="9">
        <f>'CDC Source Data'!F462</f>
        <v>0.06</v>
      </c>
      <c r="H107" s="7">
        <f>'CDC Source Data'!G462</f>
        <v>0</v>
      </c>
      <c r="I107" s="97">
        <v>22.1</v>
      </c>
      <c r="J107" s="97">
        <v>23.1</v>
      </c>
      <c r="K107" s="98">
        <v>43</v>
      </c>
      <c r="L107" s="98">
        <v>52</v>
      </c>
      <c r="M107" s="98">
        <v>50</v>
      </c>
      <c r="N107" s="98">
        <v>51</v>
      </c>
      <c r="O107" s="98">
        <v>69</v>
      </c>
      <c r="P107" s="98">
        <v>78</v>
      </c>
      <c r="Q107" s="98">
        <v>84</v>
      </c>
      <c r="R107" s="98">
        <v>81</v>
      </c>
      <c r="S107" s="98">
        <v>77</v>
      </c>
      <c r="T107" s="98">
        <v>70</v>
      </c>
      <c r="U107" s="98">
        <v>70</v>
      </c>
      <c r="V107" s="98">
        <v>75</v>
      </c>
      <c r="W107" s="98">
        <v>79</v>
      </c>
      <c r="X107" s="98">
        <v>76</v>
      </c>
      <c r="Y107" s="98">
        <v>77</v>
      </c>
      <c r="Z107" s="98">
        <v>75</v>
      </c>
      <c r="AA107" s="98">
        <v>67</v>
      </c>
      <c r="AB107" s="98">
        <v>79</v>
      </c>
      <c r="AC107" s="98">
        <v>77</v>
      </c>
      <c r="AD107" s="98">
        <v>64</v>
      </c>
      <c r="AE107" s="98">
        <v>56</v>
      </c>
      <c r="AF107" s="98">
        <v>35</v>
      </c>
      <c r="AG107" s="98">
        <v>35</v>
      </c>
    </row>
    <row r="108" spans="1:33" x14ac:dyDescent="0.3">
      <c r="A108" s="7">
        <v>103</v>
      </c>
      <c r="B108" s="7" t="s">
        <v>502</v>
      </c>
      <c r="C108" s="7" t="s">
        <v>447</v>
      </c>
      <c r="D108" s="8">
        <f>'CDC Source Data'!D381</f>
        <v>537443</v>
      </c>
      <c r="E108" s="8">
        <f>'CDC Source Data'!E381</f>
        <v>149</v>
      </c>
      <c r="F108" s="31">
        <f t="shared" si="1"/>
        <v>27.800061954423782</v>
      </c>
      <c r="G108" s="9">
        <f>'CDC Source Data'!F381</f>
        <v>0.09</v>
      </c>
      <c r="H108" s="7">
        <f>'CDC Source Data'!G381</f>
        <v>0</v>
      </c>
      <c r="I108" s="97">
        <v>52.3</v>
      </c>
      <c r="J108" s="97">
        <v>54.6</v>
      </c>
      <c r="K108" s="98">
        <v>304</v>
      </c>
      <c r="L108" s="98">
        <v>329</v>
      </c>
      <c r="M108" s="98">
        <v>330</v>
      </c>
      <c r="N108" s="98">
        <v>320</v>
      </c>
      <c r="O108" s="98">
        <v>320</v>
      </c>
      <c r="P108" s="98">
        <v>302</v>
      </c>
      <c r="Q108" s="98">
        <v>307</v>
      </c>
      <c r="R108" s="98">
        <v>315</v>
      </c>
      <c r="S108" s="98">
        <v>298</v>
      </c>
      <c r="T108" s="98">
        <v>291</v>
      </c>
      <c r="U108" s="98">
        <v>279</v>
      </c>
      <c r="V108" s="98">
        <v>291</v>
      </c>
      <c r="W108" s="98">
        <v>309</v>
      </c>
      <c r="X108" s="98">
        <v>314</v>
      </c>
      <c r="Y108" s="98">
        <v>318</v>
      </c>
      <c r="Z108" s="98">
        <v>285</v>
      </c>
      <c r="AA108" s="98">
        <v>260</v>
      </c>
      <c r="AB108" s="98">
        <v>216</v>
      </c>
      <c r="AC108" s="98">
        <v>185</v>
      </c>
      <c r="AD108" s="98">
        <v>178</v>
      </c>
      <c r="AE108" s="98">
        <v>160</v>
      </c>
      <c r="AF108" s="98">
        <v>169</v>
      </c>
      <c r="AG108" s="98">
        <v>149</v>
      </c>
    </row>
    <row r="109" spans="1:33" x14ac:dyDescent="0.3">
      <c r="A109" s="7">
        <v>104</v>
      </c>
      <c r="B109" s="7" t="s">
        <v>503</v>
      </c>
      <c r="C109" s="7" t="s">
        <v>27</v>
      </c>
      <c r="D109" s="8">
        <f>'CDC Source Data'!D546</f>
        <v>162703</v>
      </c>
      <c r="E109" s="8">
        <f>'CDC Source Data'!E546</f>
        <v>45</v>
      </c>
      <c r="F109" s="31">
        <f t="shared" si="1"/>
        <v>27.72387025228722</v>
      </c>
      <c r="G109" s="9">
        <f>'CDC Source Data'!F546</f>
        <v>0</v>
      </c>
      <c r="H109" s="7">
        <f>'CDC Source Data'!G546</f>
        <v>0</v>
      </c>
      <c r="I109" s="97">
        <v>29.1</v>
      </c>
      <c r="J109" s="97">
        <v>30.3</v>
      </c>
      <c r="K109" s="98">
        <v>27</v>
      </c>
      <c r="L109" s="98">
        <v>47</v>
      </c>
      <c r="M109" s="98">
        <v>46</v>
      </c>
      <c r="N109" s="98">
        <v>60</v>
      </c>
      <c r="O109" s="98">
        <v>74</v>
      </c>
      <c r="P109" s="98">
        <v>67</v>
      </c>
      <c r="Q109" s="98">
        <v>77</v>
      </c>
      <c r="R109" s="98">
        <v>74</v>
      </c>
      <c r="S109" s="98">
        <v>75</v>
      </c>
      <c r="T109" s="98">
        <v>69</v>
      </c>
      <c r="U109" s="98">
        <v>72</v>
      </c>
      <c r="V109" s="98">
        <v>77</v>
      </c>
      <c r="W109" s="98">
        <v>82</v>
      </c>
      <c r="X109" s="98">
        <v>95</v>
      </c>
      <c r="Y109" s="98">
        <v>88</v>
      </c>
      <c r="Z109" s="98">
        <v>93</v>
      </c>
      <c r="AA109" s="98">
        <v>80</v>
      </c>
      <c r="AB109" s="98">
        <v>68</v>
      </c>
      <c r="AC109" s="98">
        <v>68</v>
      </c>
      <c r="AD109" s="98">
        <v>57</v>
      </c>
      <c r="AE109" s="98">
        <v>59</v>
      </c>
      <c r="AF109" s="98">
        <v>54</v>
      </c>
      <c r="AG109" s="98">
        <v>45</v>
      </c>
    </row>
    <row r="110" spans="1:33" x14ac:dyDescent="0.3">
      <c r="A110" s="10">
        <v>105</v>
      </c>
      <c r="B110" s="10" t="s">
        <v>504</v>
      </c>
      <c r="C110" s="10" t="s">
        <v>13</v>
      </c>
      <c r="D110" s="11">
        <f>'CDC Source Data'!D198</f>
        <v>101238</v>
      </c>
      <c r="E110" s="11">
        <f>'CDC Source Data'!E198</f>
        <v>28</v>
      </c>
      <c r="F110" s="33">
        <f t="shared" si="1"/>
        <v>27.657756771540786</v>
      </c>
      <c r="G110" s="12">
        <f>'CDC Source Data'!F198</f>
        <v>0.18</v>
      </c>
      <c r="H110" s="10">
        <f>'CDC Source Data'!G198</f>
        <v>0</v>
      </c>
      <c r="I110" s="101">
        <v>11</v>
      </c>
      <c r="J110" s="101">
        <v>11.5</v>
      </c>
      <c r="K110" s="103"/>
      <c r="L110" s="102">
        <v>13</v>
      </c>
      <c r="M110" s="102">
        <v>15</v>
      </c>
      <c r="N110" s="102">
        <v>16</v>
      </c>
      <c r="O110" s="102">
        <v>20</v>
      </c>
      <c r="P110" s="102">
        <v>18</v>
      </c>
      <c r="Q110" s="102">
        <v>18</v>
      </c>
      <c r="R110" s="102">
        <v>24</v>
      </c>
      <c r="S110" s="102">
        <v>19</v>
      </c>
      <c r="T110" s="102">
        <v>20</v>
      </c>
      <c r="U110" s="102">
        <v>21</v>
      </c>
      <c r="V110" s="102">
        <v>24</v>
      </c>
      <c r="W110" s="102">
        <v>27</v>
      </c>
      <c r="X110" s="102">
        <v>27</v>
      </c>
      <c r="Y110" s="102">
        <v>28</v>
      </c>
      <c r="Z110" s="102">
        <v>21</v>
      </c>
      <c r="AA110" s="102">
        <v>24</v>
      </c>
      <c r="AB110" s="102">
        <v>27</v>
      </c>
      <c r="AC110" s="102">
        <v>24</v>
      </c>
      <c r="AD110" s="102">
        <v>29</v>
      </c>
      <c r="AE110" s="102">
        <v>29</v>
      </c>
      <c r="AF110" s="102">
        <v>25</v>
      </c>
      <c r="AG110" s="102">
        <v>28</v>
      </c>
    </row>
    <row r="111" spans="1:33" x14ac:dyDescent="0.3">
      <c r="A111" s="7">
        <v>106</v>
      </c>
      <c r="B111" s="7" t="s">
        <v>505</v>
      </c>
      <c r="C111" s="7" t="s">
        <v>257</v>
      </c>
      <c r="D111" s="8">
        <f>'CDC Source Data'!D232</f>
        <v>213730</v>
      </c>
      <c r="E111" s="8">
        <f>'CDC Source Data'!E232</f>
        <v>59</v>
      </c>
      <c r="F111" s="31">
        <f t="shared" si="1"/>
        <v>27.657598925304725</v>
      </c>
      <c r="G111" s="9">
        <f>'CDC Source Data'!F232</f>
        <v>0.08</v>
      </c>
      <c r="H111" s="7" t="str">
        <f>'CDC Source Data'!G232</f>
        <v>Completeness of provisional 2019 data under 90% after 6 months.</v>
      </c>
      <c r="I111" s="97">
        <v>27.2</v>
      </c>
      <c r="J111" s="97">
        <v>28.4</v>
      </c>
      <c r="K111" s="98">
        <v>45</v>
      </c>
      <c r="L111" s="98">
        <v>52</v>
      </c>
      <c r="M111" s="98">
        <v>57</v>
      </c>
      <c r="N111" s="98">
        <v>57</v>
      </c>
      <c r="O111" s="98">
        <v>71</v>
      </c>
      <c r="P111" s="98">
        <v>79</v>
      </c>
      <c r="Q111" s="98">
        <v>88</v>
      </c>
      <c r="R111" s="98">
        <v>93</v>
      </c>
      <c r="S111" s="98">
        <v>88</v>
      </c>
      <c r="T111" s="98">
        <v>80</v>
      </c>
      <c r="U111" s="98">
        <v>74</v>
      </c>
      <c r="V111" s="98">
        <v>82</v>
      </c>
      <c r="W111" s="98">
        <v>79</v>
      </c>
      <c r="X111" s="98">
        <v>81</v>
      </c>
      <c r="Y111" s="98">
        <v>85</v>
      </c>
      <c r="Z111" s="98">
        <v>79</v>
      </c>
      <c r="AA111" s="98">
        <v>72</v>
      </c>
      <c r="AB111" s="98">
        <v>67</v>
      </c>
      <c r="AC111" s="98">
        <v>55</v>
      </c>
      <c r="AD111" s="98">
        <v>58</v>
      </c>
      <c r="AE111" s="98">
        <v>59</v>
      </c>
      <c r="AF111" s="98">
        <v>56</v>
      </c>
      <c r="AG111" s="98">
        <v>59</v>
      </c>
    </row>
    <row r="112" spans="1:33" x14ac:dyDescent="0.3">
      <c r="A112" s="7">
        <v>107</v>
      </c>
      <c r="B112" s="7" t="s">
        <v>34</v>
      </c>
      <c r="C112" s="7" t="s">
        <v>50</v>
      </c>
      <c r="D112" s="8">
        <f>'CDC Source Data'!D346</f>
        <v>428905</v>
      </c>
      <c r="E112" s="8">
        <f>'CDC Source Data'!E346</f>
        <v>118</v>
      </c>
      <c r="F112" s="31">
        <f t="shared" si="1"/>
        <v>27.604922097974079</v>
      </c>
      <c r="G112" s="9">
        <f>'CDC Source Data'!F346</f>
        <v>0.02</v>
      </c>
      <c r="H112" s="7">
        <f>'CDC Source Data'!G346</f>
        <v>0</v>
      </c>
      <c r="I112" s="97">
        <v>30.5</v>
      </c>
      <c r="J112" s="97">
        <v>31.9</v>
      </c>
      <c r="K112" s="98">
        <v>118</v>
      </c>
      <c r="L112" s="98">
        <v>145</v>
      </c>
      <c r="M112" s="98">
        <v>169</v>
      </c>
      <c r="N112" s="98">
        <v>192</v>
      </c>
      <c r="O112" s="98">
        <v>197</v>
      </c>
      <c r="P112" s="98">
        <v>189</v>
      </c>
      <c r="Q112" s="98">
        <v>188</v>
      </c>
      <c r="R112" s="98">
        <v>195</v>
      </c>
      <c r="S112" s="98">
        <v>198</v>
      </c>
      <c r="T112" s="98">
        <v>198</v>
      </c>
      <c r="U112" s="98">
        <v>202</v>
      </c>
      <c r="V112" s="98">
        <v>209</v>
      </c>
      <c r="W112" s="98">
        <v>221</v>
      </c>
      <c r="X112" s="98">
        <v>225</v>
      </c>
      <c r="Y112" s="98">
        <v>221</v>
      </c>
      <c r="Z112" s="98">
        <v>215</v>
      </c>
      <c r="AA112" s="98">
        <v>200</v>
      </c>
      <c r="AB112" s="98">
        <v>184</v>
      </c>
      <c r="AC112" s="98">
        <v>173</v>
      </c>
      <c r="AD112" s="98">
        <v>151</v>
      </c>
      <c r="AE112" s="98">
        <v>133</v>
      </c>
      <c r="AF112" s="98">
        <v>130</v>
      </c>
      <c r="AG112" s="98">
        <v>118</v>
      </c>
    </row>
    <row r="113" spans="1:33" x14ac:dyDescent="0.3">
      <c r="A113" s="7">
        <v>108</v>
      </c>
      <c r="B113" s="7" t="s">
        <v>506</v>
      </c>
      <c r="C113" s="7" t="s">
        <v>41</v>
      </c>
      <c r="D113" s="8">
        <f>'CDC Source Data'!D228</f>
        <v>112826</v>
      </c>
      <c r="E113" s="8">
        <f>'CDC Source Data'!E228</f>
        <v>31</v>
      </c>
      <c r="F113" s="31">
        <f t="shared" si="1"/>
        <v>27.511919889019712</v>
      </c>
      <c r="G113" s="9">
        <f>'CDC Source Data'!F228</f>
        <v>0</v>
      </c>
      <c r="H113" s="7">
        <f>'CDC Source Data'!G228</f>
        <v>0</v>
      </c>
      <c r="I113" s="97">
        <v>20</v>
      </c>
      <c r="J113" s="97">
        <v>20.9</v>
      </c>
      <c r="K113" s="98">
        <v>28</v>
      </c>
      <c r="L113" s="98">
        <v>31</v>
      </c>
      <c r="M113" s="98">
        <v>36</v>
      </c>
      <c r="N113" s="98">
        <v>35</v>
      </c>
      <c r="O113" s="98">
        <v>35</v>
      </c>
      <c r="P113" s="98">
        <v>38</v>
      </c>
      <c r="Q113" s="98">
        <v>47</v>
      </c>
      <c r="R113" s="98">
        <v>46</v>
      </c>
      <c r="S113" s="98">
        <v>50</v>
      </c>
      <c r="T113" s="98">
        <v>53</v>
      </c>
      <c r="U113" s="98">
        <v>42</v>
      </c>
      <c r="V113" s="98">
        <v>51</v>
      </c>
      <c r="W113" s="98">
        <v>50</v>
      </c>
      <c r="X113" s="98">
        <v>47</v>
      </c>
      <c r="Y113" s="98">
        <v>50</v>
      </c>
      <c r="Z113" s="98">
        <v>41</v>
      </c>
      <c r="AA113" s="98">
        <v>41</v>
      </c>
      <c r="AB113" s="98">
        <v>33</v>
      </c>
      <c r="AC113" s="98">
        <v>26</v>
      </c>
      <c r="AD113" s="98">
        <v>30</v>
      </c>
      <c r="AE113" s="98">
        <v>29</v>
      </c>
      <c r="AF113" s="98">
        <v>31</v>
      </c>
      <c r="AG113" s="98">
        <v>31</v>
      </c>
    </row>
    <row r="114" spans="1:33" x14ac:dyDescent="0.3">
      <c r="A114" s="7">
        <v>109</v>
      </c>
      <c r="B114" s="7" t="s">
        <v>507</v>
      </c>
      <c r="C114" s="7" t="s">
        <v>17</v>
      </c>
      <c r="D114" s="8">
        <f>'CDC Source Data'!D7</f>
        <v>542973</v>
      </c>
      <c r="E114" s="8">
        <f>'CDC Source Data'!E7</f>
        <v>149</v>
      </c>
      <c r="F114" s="31">
        <f t="shared" si="1"/>
        <v>27.475936397638844</v>
      </c>
      <c r="G114" s="9">
        <f>'CDC Source Data'!F7</f>
        <v>0</v>
      </c>
      <c r="H114" s="7">
        <f>'CDC Source Data'!G7</f>
        <v>0</v>
      </c>
      <c r="I114" s="100"/>
      <c r="J114" s="100"/>
      <c r="K114" s="98">
        <v>107</v>
      </c>
      <c r="L114" s="98">
        <v>112</v>
      </c>
      <c r="M114" s="98">
        <v>123</v>
      </c>
      <c r="N114" s="98">
        <v>134</v>
      </c>
      <c r="O114" s="98">
        <v>164</v>
      </c>
      <c r="P114" s="98">
        <v>189</v>
      </c>
      <c r="Q114" s="98">
        <v>203</v>
      </c>
      <c r="R114" s="98">
        <v>216</v>
      </c>
      <c r="S114" s="98">
        <v>207</v>
      </c>
      <c r="T114" s="98">
        <v>191</v>
      </c>
      <c r="U114" s="98">
        <v>192</v>
      </c>
      <c r="V114" s="98">
        <v>196</v>
      </c>
      <c r="W114" s="98">
        <v>187</v>
      </c>
      <c r="X114" s="98">
        <v>194</v>
      </c>
      <c r="Y114" s="98">
        <v>191</v>
      </c>
      <c r="Z114" s="98">
        <v>182</v>
      </c>
      <c r="AA114" s="98">
        <v>171</v>
      </c>
      <c r="AB114" s="98">
        <v>178</v>
      </c>
      <c r="AC114" s="98">
        <v>165</v>
      </c>
      <c r="AD114" s="98">
        <v>158</v>
      </c>
      <c r="AE114" s="98">
        <v>162</v>
      </c>
      <c r="AF114" s="98">
        <v>146</v>
      </c>
      <c r="AG114" s="98">
        <v>149</v>
      </c>
    </row>
    <row r="115" spans="1:33" x14ac:dyDescent="0.3">
      <c r="A115" s="7">
        <v>110</v>
      </c>
      <c r="B115" s="7" t="s">
        <v>508</v>
      </c>
      <c r="C115" s="7" t="s">
        <v>17</v>
      </c>
      <c r="D115" s="8">
        <f>'CDC Source Data'!D25</f>
        <v>666918</v>
      </c>
      <c r="E115" s="8">
        <f>'CDC Source Data'!E25</f>
        <v>183</v>
      </c>
      <c r="F115" s="31">
        <f t="shared" si="1"/>
        <v>27.441511824713199</v>
      </c>
      <c r="G115" s="9">
        <f>'CDC Source Data'!F25</f>
        <v>0</v>
      </c>
      <c r="H115" s="7">
        <f>'CDC Source Data'!G25</f>
        <v>0</v>
      </c>
      <c r="I115" s="97">
        <v>20.100000000000001</v>
      </c>
      <c r="J115" s="97">
        <v>21</v>
      </c>
      <c r="K115" s="98">
        <v>114</v>
      </c>
      <c r="L115" s="98">
        <v>143</v>
      </c>
      <c r="M115" s="98">
        <v>141</v>
      </c>
      <c r="N115" s="98">
        <v>139</v>
      </c>
      <c r="O115" s="98">
        <v>143</v>
      </c>
      <c r="P115" s="98">
        <v>143</v>
      </c>
      <c r="Q115" s="98">
        <v>167</v>
      </c>
      <c r="R115" s="98">
        <v>169</v>
      </c>
      <c r="S115" s="98">
        <v>174</v>
      </c>
      <c r="T115" s="98">
        <v>165</v>
      </c>
      <c r="U115" s="98">
        <v>165</v>
      </c>
      <c r="V115" s="98">
        <v>181</v>
      </c>
      <c r="W115" s="98">
        <v>180</v>
      </c>
      <c r="X115" s="98">
        <v>195</v>
      </c>
      <c r="Y115" s="98">
        <v>189</v>
      </c>
      <c r="Z115" s="98">
        <v>184</v>
      </c>
      <c r="AA115" s="98">
        <v>188</v>
      </c>
      <c r="AB115" s="98">
        <v>183</v>
      </c>
      <c r="AC115" s="98">
        <v>171</v>
      </c>
      <c r="AD115" s="98">
        <v>166</v>
      </c>
      <c r="AE115" s="98">
        <v>157</v>
      </c>
      <c r="AF115" s="98">
        <v>162</v>
      </c>
      <c r="AG115" s="98">
        <v>183</v>
      </c>
    </row>
    <row r="116" spans="1:33" x14ac:dyDescent="0.3">
      <c r="A116" s="7">
        <v>111</v>
      </c>
      <c r="B116" s="7" t="s">
        <v>509</v>
      </c>
      <c r="C116" s="7" t="s">
        <v>19</v>
      </c>
      <c r="D116" s="8">
        <f>'CDC Source Data'!D187</f>
        <v>123941</v>
      </c>
      <c r="E116" s="8">
        <f>'CDC Source Data'!E187</f>
        <v>34</v>
      </c>
      <c r="F116" s="31">
        <f t="shared" si="1"/>
        <v>27.439655249970759</v>
      </c>
      <c r="G116" s="9">
        <f>'CDC Source Data'!F187</f>
        <v>0.27</v>
      </c>
      <c r="H116" s="7" t="str">
        <f>'CDC Source Data'!G187</f>
        <v>Completeness of provisional 2019 data under 90% after 6 months.</v>
      </c>
      <c r="I116" s="97">
        <v>39.200000000000003</v>
      </c>
      <c r="J116" s="97">
        <v>40.9</v>
      </c>
      <c r="K116" s="98">
        <v>50</v>
      </c>
      <c r="L116" s="98">
        <v>57</v>
      </c>
      <c r="M116" s="98">
        <v>66</v>
      </c>
      <c r="N116" s="98">
        <v>72</v>
      </c>
      <c r="O116" s="98">
        <v>85</v>
      </c>
      <c r="P116" s="98">
        <v>88</v>
      </c>
      <c r="Q116" s="98">
        <v>98</v>
      </c>
      <c r="R116" s="98">
        <v>95</v>
      </c>
      <c r="S116" s="98">
        <v>91</v>
      </c>
      <c r="T116" s="98">
        <v>81</v>
      </c>
      <c r="U116" s="98">
        <v>76</v>
      </c>
      <c r="V116" s="98">
        <v>84</v>
      </c>
      <c r="W116" s="98">
        <v>89</v>
      </c>
      <c r="X116" s="98">
        <v>101</v>
      </c>
      <c r="Y116" s="98">
        <v>89</v>
      </c>
      <c r="Z116" s="98">
        <v>80</v>
      </c>
      <c r="AA116" s="98">
        <v>64</v>
      </c>
      <c r="AB116" s="98">
        <v>49</v>
      </c>
      <c r="AC116" s="98">
        <v>49</v>
      </c>
      <c r="AD116" s="98">
        <v>43</v>
      </c>
      <c r="AE116" s="98">
        <v>47</v>
      </c>
      <c r="AF116" s="98">
        <v>46</v>
      </c>
      <c r="AG116" s="98">
        <v>34</v>
      </c>
    </row>
    <row r="117" spans="1:33" x14ac:dyDescent="0.3">
      <c r="A117" s="10">
        <v>112</v>
      </c>
      <c r="B117" s="10" t="s">
        <v>510</v>
      </c>
      <c r="C117" s="10" t="s">
        <v>13</v>
      </c>
      <c r="D117" s="11">
        <f>'CDC Source Data'!D292</f>
        <v>281420</v>
      </c>
      <c r="E117" s="11">
        <f>'CDC Source Data'!E292</f>
        <v>77</v>
      </c>
      <c r="F117" s="33">
        <f t="shared" si="1"/>
        <v>27.432407355112513</v>
      </c>
      <c r="G117" s="12">
        <f>'CDC Source Data'!F292</f>
        <v>0.16</v>
      </c>
      <c r="H117" s="10" t="str">
        <f>'CDC Source Data'!G292</f>
        <v>Completeness of provisional 2019 data under 90% after 6 months.</v>
      </c>
      <c r="I117" s="101">
        <v>16.899999999999999</v>
      </c>
      <c r="J117" s="101">
        <v>17.600000000000001</v>
      </c>
      <c r="K117" s="102">
        <v>34</v>
      </c>
      <c r="L117" s="102">
        <v>37</v>
      </c>
      <c r="M117" s="102">
        <v>40</v>
      </c>
      <c r="N117" s="102">
        <v>43</v>
      </c>
      <c r="O117" s="102">
        <v>48</v>
      </c>
      <c r="P117" s="102">
        <v>53</v>
      </c>
      <c r="Q117" s="102">
        <v>51</v>
      </c>
      <c r="R117" s="102">
        <v>53</v>
      </c>
      <c r="S117" s="102">
        <v>61</v>
      </c>
      <c r="T117" s="102">
        <v>67</v>
      </c>
      <c r="U117" s="102">
        <v>76</v>
      </c>
      <c r="V117" s="102">
        <v>75</v>
      </c>
      <c r="W117" s="102">
        <v>83</v>
      </c>
      <c r="X117" s="102">
        <v>83</v>
      </c>
      <c r="Y117" s="102">
        <v>84</v>
      </c>
      <c r="Z117" s="102">
        <v>91</v>
      </c>
      <c r="AA117" s="102">
        <v>91</v>
      </c>
      <c r="AB117" s="102">
        <v>86</v>
      </c>
      <c r="AC117" s="102">
        <v>76</v>
      </c>
      <c r="AD117" s="102">
        <v>78</v>
      </c>
      <c r="AE117" s="102">
        <v>79</v>
      </c>
      <c r="AF117" s="102">
        <v>72</v>
      </c>
      <c r="AG117" s="102">
        <v>77</v>
      </c>
    </row>
    <row r="118" spans="1:33" x14ac:dyDescent="0.3">
      <c r="A118" s="7">
        <v>113</v>
      </c>
      <c r="B118" s="7" t="s">
        <v>511</v>
      </c>
      <c r="C118" s="7" t="s">
        <v>19</v>
      </c>
      <c r="D118" s="8">
        <f>'CDC Source Data'!D602</f>
        <v>350935</v>
      </c>
      <c r="E118" s="8">
        <f>'CDC Source Data'!E602</f>
        <v>96</v>
      </c>
      <c r="F118" s="31">
        <f t="shared" si="1"/>
        <v>27.361239428612038</v>
      </c>
      <c r="G118" s="9">
        <f>'CDC Source Data'!F602</f>
        <v>0.17</v>
      </c>
      <c r="H118" s="7" t="str">
        <f>'CDC Source Data'!G602</f>
        <v>Completeness of provisional 2019 data under 90% after 6 months.</v>
      </c>
      <c r="I118" s="97">
        <v>36.6</v>
      </c>
      <c r="J118" s="97">
        <v>38.299999999999997</v>
      </c>
      <c r="K118" s="98">
        <v>136</v>
      </c>
      <c r="L118" s="98">
        <v>133</v>
      </c>
      <c r="M118" s="98">
        <v>134</v>
      </c>
      <c r="N118" s="98">
        <v>131</v>
      </c>
      <c r="O118" s="98">
        <v>150</v>
      </c>
      <c r="P118" s="98">
        <v>169</v>
      </c>
      <c r="Q118" s="98">
        <v>169</v>
      </c>
      <c r="R118" s="98">
        <v>174</v>
      </c>
      <c r="S118" s="98">
        <v>157</v>
      </c>
      <c r="T118" s="98">
        <v>145</v>
      </c>
      <c r="U118" s="98">
        <v>137</v>
      </c>
      <c r="V118" s="98">
        <v>135</v>
      </c>
      <c r="W118" s="98">
        <v>137</v>
      </c>
      <c r="X118" s="98">
        <v>127</v>
      </c>
      <c r="Y118" s="98">
        <v>126</v>
      </c>
      <c r="Z118" s="98">
        <v>115</v>
      </c>
      <c r="AA118" s="98">
        <v>98</v>
      </c>
      <c r="AB118" s="98">
        <v>112</v>
      </c>
      <c r="AC118" s="98">
        <v>97</v>
      </c>
      <c r="AD118" s="98">
        <v>94</v>
      </c>
      <c r="AE118" s="98">
        <v>100</v>
      </c>
      <c r="AF118" s="98">
        <v>90</v>
      </c>
      <c r="AG118" s="98">
        <v>96</v>
      </c>
    </row>
    <row r="119" spans="1:33" x14ac:dyDescent="0.3">
      <c r="A119" s="7">
        <v>114</v>
      </c>
      <c r="B119" s="7" t="s">
        <v>512</v>
      </c>
      <c r="C119" s="7" t="s">
        <v>29</v>
      </c>
      <c r="D119" s="8">
        <f>'CDC Source Data'!D487</f>
        <v>120817</v>
      </c>
      <c r="E119" s="8">
        <f>'CDC Source Data'!E487</f>
        <v>33</v>
      </c>
      <c r="F119" s="31">
        <f t="shared" si="1"/>
        <v>27.355493182498183</v>
      </c>
      <c r="G119" s="9">
        <f>'CDC Source Data'!F487</f>
        <v>0.31</v>
      </c>
      <c r="H119" s="7" t="str">
        <f>'CDC Source Data'!G487</f>
        <v>Completeness of provisional 2019 data under 90% after 6 months.</v>
      </c>
      <c r="I119" s="97">
        <v>22</v>
      </c>
      <c r="J119" s="97">
        <v>22.9</v>
      </c>
      <c r="K119" s="98">
        <v>31</v>
      </c>
      <c r="L119" s="98">
        <v>34</v>
      </c>
      <c r="M119" s="98">
        <v>33</v>
      </c>
      <c r="N119" s="98">
        <v>36</v>
      </c>
      <c r="O119" s="98">
        <v>39</v>
      </c>
      <c r="P119" s="98">
        <v>42</v>
      </c>
      <c r="Q119" s="98">
        <v>46</v>
      </c>
      <c r="R119" s="98">
        <v>40</v>
      </c>
      <c r="S119" s="98">
        <v>40</v>
      </c>
      <c r="T119" s="98">
        <v>41</v>
      </c>
      <c r="U119" s="98">
        <v>39</v>
      </c>
      <c r="V119" s="98">
        <v>49</v>
      </c>
      <c r="W119" s="98">
        <v>52</v>
      </c>
      <c r="X119" s="98">
        <v>48</v>
      </c>
      <c r="Y119" s="98">
        <v>50</v>
      </c>
      <c r="Z119" s="98">
        <v>49</v>
      </c>
      <c r="AA119" s="98">
        <v>44</v>
      </c>
      <c r="AB119" s="98">
        <v>42</v>
      </c>
      <c r="AC119" s="98">
        <v>34</v>
      </c>
      <c r="AD119" s="98">
        <v>32</v>
      </c>
      <c r="AE119" s="98">
        <v>30</v>
      </c>
      <c r="AF119" s="98">
        <v>28</v>
      </c>
      <c r="AG119" s="98">
        <v>33</v>
      </c>
    </row>
    <row r="120" spans="1:33" x14ac:dyDescent="0.3">
      <c r="A120" s="7">
        <v>115</v>
      </c>
      <c r="B120" s="7" t="s">
        <v>513</v>
      </c>
      <c r="C120" s="7" t="s">
        <v>447</v>
      </c>
      <c r="D120" s="8">
        <f>'CDC Source Data'!D539</f>
        <v>374091</v>
      </c>
      <c r="E120" s="8">
        <f>'CDC Source Data'!E539</f>
        <v>102</v>
      </c>
      <c r="F120" s="31">
        <f t="shared" si="1"/>
        <v>27.314036931888722</v>
      </c>
      <c r="G120" s="9">
        <f>'CDC Source Data'!F539</f>
        <v>0.02</v>
      </c>
      <c r="H120" s="7" t="str">
        <f>'CDC Source Data'!G539</f>
        <v>Completeness of provisional 2019 data under 90% after 6 months.</v>
      </c>
      <c r="I120" s="97">
        <v>21.7</v>
      </c>
      <c r="J120" s="97">
        <v>22.7</v>
      </c>
      <c r="K120" s="98">
        <v>101</v>
      </c>
      <c r="L120" s="98">
        <v>113</v>
      </c>
      <c r="M120" s="98">
        <v>125</v>
      </c>
      <c r="N120" s="98">
        <v>124</v>
      </c>
      <c r="O120" s="98">
        <v>131</v>
      </c>
      <c r="P120" s="98">
        <v>148</v>
      </c>
      <c r="Q120" s="98">
        <v>148</v>
      </c>
      <c r="R120" s="98">
        <v>151</v>
      </c>
      <c r="S120" s="98">
        <v>146</v>
      </c>
      <c r="T120" s="98">
        <v>134</v>
      </c>
      <c r="U120" s="98">
        <v>134</v>
      </c>
      <c r="V120" s="98">
        <v>145</v>
      </c>
      <c r="W120" s="98">
        <v>155</v>
      </c>
      <c r="X120" s="98">
        <v>170</v>
      </c>
      <c r="Y120" s="98">
        <v>170</v>
      </c>
      <c r="Z120" s="98">
        <v>158</v>
      </c>
      <c r="AA120" s="98">
        <v>156</v>
      </c>
      <c r="AB120" s="98">
        <v>128</v>
      </c>
      <c r="AC120" s="98">
        <v>125</v>
      </c>
      <c r="AD120" s="98">
        <v>118</v>
      </c>
      <c r="AE120" s="98">
        <v>107</v>
      </c>
      <c r="AF120" s="98">
        <v>106</v>
      </c>
      <c r="AG120" s="98">
        <v>102</v>
      </c>
    </row>
    <row r="121" spans="1:33" x14ac:dyDescent="0.3">
      <c r="A121" s="7">
        <v>116</v>
      </c>
      <c r="B121" s="7" t="s">
        <v>514</v>
      </c>
      <c r="C121" s="7" t="s">
        <v>15</v>
      </c>
      <c r="D121" s="8">
        <f>'CDC Source Data'!D517</f>
        <v>455101</v>
      </c>
      <c r="E121" s="8">
        <f>'CDC Source Data'!E517</f>
        <v>124</v>
      </c>
      <c r="F121" s="31">
        <f t="shared" si="1"/>
        <v>27.26609300945492</v>
      </c>
      <c r="G121" s="9">
        <f>'CDC Source Data'!F517</f>
        <v>0.13</v>
      </c>
      <c r="H121" s="7" t="str">
        <f>'CDC Source Data'!G517</f>
        <v>Completeness of provisional 2019 data under 90% after 6 months.</v>
      </c>
      <c r="I121" s="97">
        <v>16.600000000000001</v>
      </c>
      <c r="J121" s="97">
        <v>17.3</v>
      </c>
      <c r="K121" s="98">
        <v>74</v>
      </c>
      <c r="L121" s="98">
        <v>81</v>
      </c>
      <c r="M121" s="98">
        <v>85</v>
      </c>
      <c r="N121" s="98">
        <v>80</v>
      </c>
      <c r="O121" s="98">
        <v>93</v>
      </c>
      <c r="P121" s="98">
        <v>100</v>
      </c>
      <c r="Q121" s="98">
        <v>113</v>
      </c>
      <c r="R121" s="98">
        <v>120</v>
      </c>
      <c r="S121" s="98">
        <v>123</v>
      </c>
      <c r="T121" s="98">
        <v>132</v>
      </c>
      <c r="U121" s="98">
        <v>123</v>
      </c>
      <c r="V121" s="98">
        <v>134</v>
      </c>
      <c r="W121" s="98">
        <v>145</v>
      </c>
      <c r="X121" s="98">
        <v>136</v>
      </c>
      <c r="Y121" s="98">
        <v>141</v>
      </c>
      <c r="Z121" s="98">
        <v>142</v>
      </c>
      <c r="AA121" s="98">
        <v>141</v>
      </c>
      <c r="AB121" s="98">
        <v>142</v>
      </c>
      <c r="AC121" s="98">
        <v>136</v>
      </c>
      <c r="AD121" s="98">
        <v>119</v>
      </c>
      <c r="AE121" s="98">
        <v>107</v>
      </c>
      <c r="AF121" s="98">
        <v>110</v>
      </c>
      <c r="AG121" s="98">
        <v>124</v>
      </c>
    </row>
    <row r="122" spans="1:33" x14ac:dyDescent="0.3">
      <c r="A122" s="7">
        <v>117</v>
      </c>
      <c r="B122" s="7" t="s">
        <v>515</v>
      </c>
      <c r="C122" s="7" t="s">
        <v>447</v>
      </c>
      <c r="D122" s="8">
        <f>'CDC Source Data'!D138</f>
        <v>1240594</v>
      </c>
      <c r="E122" s="8">
        <f>'CDC Source Data'!E138</f>
        <v>338</v>
      </c>
      <c r="F122" s="31">
        <f t="shared" si="1"/>
        <v>27.24669908437907</v>
      </c>
      <c r="G122" s="9">
        <f>'CDC Source Data'!F138</f>
        <v>0.04</v>
      </c>
      <c r="H122" s="7">
        <f>'CDC Source Data'!G138</f>
        <v>0</v>
      </c>
      <c r="I122" s="97">
        <v>31.4</v>
      </c>
      <c r="J122" s="97">
        <v>32.799999999999997</v>
      </c>
      <c r="K122" s="98">
        <v>468</v>
      </c>
      <c r="L122" s="98">
        <v>484</v>
      </c>
      <c r="M122" s="98">
        <v>513</v>
      </c>
      <c r="N122" s="98">
        <v>505</v>
      </c>
      <c r="O122" s="98">
        <v>546</v>
      </c>
      <c r="P122" s="98">
        <v>580</v>
      </c>
      <c r="Q122" s="98">
        <v>584</v>
      </c>
      <c r="R122" s="98">
        <v>603</v>
      </c>
      <c r="S122" s="98">
        <v>605</v>
      </c>
      <c r="T122" s="98">
        <v>575</v>
      </c>
      <c r="U122" s="98">
        <v>582</v>
      </c>
      <c r="V122" s="98">
        <v>583</v>
      </c>
      <c r="W122" s="98">
        <v>576</v>
      </c>
      <c r="X122" s="98">
        <v>602</v>
      </c>
      <c r="Y122" s="98">
        <v>620</v>
      </c>
      <c r="Z122" s="98">
        <v>583</v>
      </c>
      <c r="AA122" s="98">
        <v>539</v>
      </c>
      <c r="AB122" s="98">
        <v>487</v>
      </c>
      <c r="AC122" s="98">
        <v>423</v>
      </c>
      <c r="AD122" s="98">
        <v>392</v>
      </c>
      <c r="AE122" s="98">
        <v>398</v>
      </c>
      <c r="AF122" s="98">
        <v>359</v>
      </c>
      <c r="AG122" s="98">
        <v>338</v>
      </c>
    </row>
    <row r="123" spans="1:33" x14ac:dyDescent="0.3">
      <c r="A123" s="7">
        <v>118</v>
      </c>
      <c r="B123" s="7" t="s">
        <v>40</v>
      </c>
      <c r="C123" s="7" t="s">
        <v>230</v>
      </c>
      <c r="D123" s="8">
        <f>'CDC Source Data'!D264</f>
        <v>231888</v>
      </c>
      <c r="E123" s="8">
        <f>'CDC Source Data'!E264</f>
        <v>63</v>
      </c>
      <c r="F123" s="31">
        <f t="shared" si="1"/>
        <v>27.245013275898483</v>
      </c>
      <c r="G123" s="9">
        <f>'CDC Source Data'!F264</f>
        <v>0</v>
      </c>
      <c r="H123" s="7" t="str">
        <f>'CDC Source Data'!G264</f>
        <v>Completeness of provisional 2019 data under 90% after 6 months.</v>
      </c>
      <c r="I123" s="97">
        <v>37.299999999999997</v>
      </c>
      <c r="J123" s="97">
        <v>38.9</v>
      </c>
      <c r="K123" s="98">
        <v>102</v>
      </c>
      <c r="L123" s="98">
        <v>114</v>
      </c>
      <c r="M123" s="98">
        <v>113</v>
      </c>
      <c r="N123" s="98">
        <v>110</v>
      </c>
      <c r="O123" s="98">
        <v>112</v>
      </c>
      <c r="P123" s="98">
        <v>114</v>
      </c>
      <c r="Q123" s="98">
        <v>120</v>
      </c>
      <c r="R123" s="98">
        <v>123</v>
      </c>
      <c r="S123" s="98">
        <v>115</v>
      </c>
      <c r="T123" s="98">
        <v>105</v>
      </c>
      <c r="U123" s="98">
        <v>105</v>
      </c>
      <c r="V123" s="98">
        <v>107</v>
      </c>
      <c r="W123" s="98">
        <v>103</v>
      </c>
      <c r="X123" s="98">
        <v>94</v>
      </c>
      <c r="Y123" s="98">
        <v>90</v>
      </c>
      <c r="Z123" s="98">
        <v>74</v>
      </c>
      <c r="AA123" s="98">
        <v>78</v>
      </c>
      <c r="AB123" s="98">
        <v>74</v>
      </c>
      <c r="AC123" s="98">
        <v>71</v>
      </c>
      <c r="AD123" s="98">
        <v>70</v>
      </c>
      <c r="AE123" s="98">
        <v>66</v>
      </c>
      <c r="AF123" s="98">
        <v>63</v>
      </c>
      <c r="AG123" s="98">
        <v>63</v>
      </c>
    </row>
    <row r="124" spans="1:33" x14ac:dyDescent="0.3">
      <c r="A124" s="7">
        <v>119</v>
      </c>
      <c r="B124" s="7" t="s">
        <v>516</v>
      </c>
      <c r="C124" s="7" t="s">
        <v>480</v>
      </c>
      <c r="D124" s="8">
        <f>'CDC Source Data'!D596</f>
        <v>1771063</v>
      </c>
      <c r="E124" s="8">
        <f>'CDC Source Data'!E596</f>
        <v>481</v>
      </c>
      <c r="F124" s="31">
        <f t="shared" si="1"/>
        <v>27.168288139101637</v>
      </c>
      <c r="G124" s="9">
        <f>'CDC Source Data'!F596</f>
        <v>0.85</v>
      </c>
      <c r="H124" s="7" t="str">
        <f>'CDC Source Data'!G596</f>
        <v>Completeness of provisional 2019 data under 90% after 6 months.</v>
      </c>
      <c r="I124" s="97">
        <v>33.1</v>
      </c>
      <c r="J124" s="97">
        <v>34.5</v>
      </c>
      <c r="K124" s="98">
        <v>754</v>
      </c>
      <c r="L124" s="98">
        <v>796</v>
      </c>
      <c r="M124" s="98">
        <v>802</v>
      </c>
      <c r="N124" s="98">
        <v>804</v>
      </c>
      <c r="O124" s="98">
        <v>837</v>
      </c>
      <c r="P124" s="98">
        <v>852</v>
      </c>
      <c r="Q124" s="98">
        <v>889</v>
      </c>
      <c r="R124" s="98">
        <v>911</v>
      </c>
      <c r="S124" s="98">
        <v>911</v>
      </c>
      <c r="T124" s="98">
        <v>856</v>
      </c>
      <c r="U124" s="98">
        <v>844</v>
      </c>
      <c r="V124" s="98">
        <v>884</v>
      </c>
      <c r="W124" s="98">
        <v>940</v>
      </c>
      <c r="X124" s="98">
        <v>952</v>
      </c>
      <c r="Y124" s="98">
        <v>984</v>
      </c>
      <c r="Z124" s="98">
        <v>952</v>
      </c>
      <c r="AA124" s="98">
        <v>866</v>
      </c>
      <c r="AB124" s="98">
        <v>806</v>
      </c>
      <c r="AC124" s="98">
        <v>684</v>
      </c>
      <c r="AD124" s="98">
        <v>556</v>
      </c>
      <c r="AE124" s="98">
        <v>538</v>
      </c>
      <c r="AF124" s="98">
        <v>486</v>
      </c>
      <c r="AG124" s="98">
        <v>481</v>
      </c>
    </row>
    <row r="125" spans="1:33" x14ac:dyDescent="0.3">
      <c r="A125" s="7">
        <v>120</v>
      </c>
      <c r="B125" s="7" t="s">
        <v>504</v>
      </c>
      <c r="C125" s="7" t="s">
        <v>230</v>
      </c>
      <c r="D125" s="8">
        <f>'CDC Source Data'!D199</f>
        <v>107256</v>
      </c>
      <c r="E125" s="8">
        <f>'CDC Source Data'!E199</f>
        <v>29</v>
      </c>
      <c r="F125" s="31">
        <f t="shared" si="1"/>
        <v>27.158830600605402</v>
      </c>
      <c r="G125" s="9">
        <f>'CDC Source Data'!F199</f>
        <v>0</v>
      </c>
      <c r="H125" s="7" t="str">
        <f>'CDC Source Data'!G199</f>
        <v>Completeness of provisional 2019 data under 90% after 6 months.</v>
      </c>
      <c r="I125" s="97">
        <v>32.5</v>
      </c>
      <c r="J125" s="97">
        <v>33.9</v>
      </c>
      <c r="K125" s="98">
        <v>45</v>
      </c>
      <c r="L125" s="98">
        <v>49</v>
      </c>
      <c r="M125" s="98">
        <v>48</v>
      </c>
      <c r="N125" s="98">
        <v>52</v>
      </c>
      <c r="O125" s="98">
        <v>54</v>
      </c>
      <c r="P125" s="98">
        <v>53</v>
      </c>
      <c r="Q125" s="98">
        <v>54</v>
      </c>
      <c r="R125" s="98">
        <v>47</v>
      </c>
      <c r="S125" s="98">
        <v>40</v>
      </c>
      <c r="T125" s="98">
        <v>52</v>
      </c>
      <c r="U125" s="98">
        <v>49</v>
      </c>
      <c r="V125" s="98">
        <v>54</v>
      </c>
      <c r="W125" s="98">
        <v>59</v>
      </c>
      <c r="X125" s="98">
        <v>39</v>
      </c>
      <c r="Y125" s="98">
        <v>32</v>
      </c>
      <c r="Z125" s="98">
        <v>30</v>
      </c>
      <c r="AA125" s="98">
        <v>25</v>
      </c>
      <c r="AB125" s="98">
        <v>30</v>
      </c>
      <c r="AC125" s="98">
        <v>30</v>
      </c>
      <c r="AD125" s="98">
        <v>26</v>
      </c>
      <c r="AE125" s="98">
        <v>31</v>
      </c>
      <c r="AF125" s="98">
        <v>29</v>
      </c>
      <c r="AG125" s="98">
        <v>29</v>
      </c>
    </row>
    <row r="126" spans="1:33" x14ac:dyDescent="0.3">
      <c r="A126" s="7">
        <v>121</v>
      </c>
      <c r="B126" s="7" t="s">
        <v>517</v>
      </c>
      <c r="C126" s="7" t="s">
        <v>43</v>
      </c>
      <c r="D126" s="8">
        <f>'CDC Source Data'!D620</f>
        <v>252013</v>
      </c>
      <c r="E126" s="8">
        <f>'CDC Source Data'!E620</f>
        <v>68</v>
      </c>
      <c r="F126" s="31">
        <f t="shared" si="1"/>
        <v>27.038114417841424</v>
      </c>
      <c r="G126" s="9">
        <f>'CDC Source Data'!F620</f>
        <v>0.11</v>
      </c>
      <c r="H126" s="7">
        <f>'CDC Source Data'!G620</f>
        <v>0</v>
      </c>
      <c r="I126" s="97">
        <v>31.8</v>
      </c>
      <c r="J126" s="97">
        <v>33.200000000000003</v>
      </c>
      <c r="K126" s="98">
        <v>87</v>
      </c>
      <c r="L126" s="98">
        <v>92</v>
      </c>
      <c r="M126" s="98">
        <v>95</v>
      </c>
      <c r="N126" s="98">
        <v>91</v>
      </c>
      <c r="O126" s="98">
        <v>93</v>
      </c>
      <c r="P126" s="98">
        <v>88</v>
      </c>
      <c r="Q126" s="98">
        <v>84</v>
      </c>
      <c r="R126" s="98">
        <v>78</v>
      </c>
      <c r="S126" s="98">
        <v>74</v>
      </c>
      <c r="T126" s="98">
        <v>78</v>
      </c>
      <c r="U126" s="98">
        <v>81</v>
      </c>
      <c r="V126" s="98">
        <v>73</v>
      </c>
      <c r="W126" s="98">
        <v>70</v>
      </c>
      <c r="X126" s="98">
        <v>64</v>
      </c>
      <c r="Y126" s="98">
        <v>62</v>
      </c>
      <c r="Z126" s="98">
        <v>70</v>
      </c>
      <c r="AA126" s="98">
        <v>75</v>
      </c>
      <c r="AB126" s="98">
        <v>82</v>
      </c>
      <c r="AC126" s="98">
        <v>80</v>
      </c>
      <c r="AD126" s="98">
        <v>83</v>
      </c>
      <c r="AE126" s="98">
        <v>78</v>
      </c>
      <c r="AF126" s="98">
        <v>70</v>
      </c>
      <c r="AG126" s="98">
        <v>68</v>
      </c>
    </row>
    <row r="127" spans="1:33" x14ac:dyDescent="0.3">
      <c r="A127" s="7">
        <v>122</v>
      </c>
      <c r="B127" s="7" t="s">
        <v>518</v>
      </c>
      <c r="C127" s="7" t="s">
        <v>453</v>
      </c>
      <c r="D127" s="8">
        <f>'CDC Source Data'!D544</f>
        <v>793144</v>
      </c>
      <c r="E127" s="8">
        <f>'CDC Source Data'!E544</f>
        <v>213</v>
      </c>
      <c r="F127" s="31">
        <f t="shared" si="1"/>
        <v>26.982735017637982</v>
      </c>
      <c r="G127" s="9">
        <f>'CDC Source Data'!F544</f>
        <v>0.17</v>
      </c>
      <c r="H127" s="7">
        <f>'CDC Source Data'!G544</f>
        <v>0</v>
      </c>
      <c r="I127" s="97">
        <v>29.1</v>
      </c>
      <c r="J127" s="97">
        <v>30.4</v>
      </c>
      <c r="K127" s="98">
        <v>255</v>
      </c>
      <c r="L127" s="98">
        <v>271</v>
      </c>
      <c r="M127" s="98">
        <v>296</v>
      </c>
      <c r="N127" s="98">
        <v>310</v>
      </c>
      <c r="O127" s="98">
        <v>332</v>
      </c>
      <c r="P127" s="98">
        <v>332</v>
      </c>
      <c r="Q127" s="98">
        <v>318</v>
      </c>
      <c r="R127" s="98">
        <v>337</v>
      </c>
      <c r="S127" s="98">
        <v>345</v>
      </c>
      <c r="T127" s="98">
        <v>339</v>
      </c>
      <c r="U127" s="98">
        <v>362</v>
      </c>
      <c r="V127" s="98">
        <v>337</v>
      </c>
      <c r="W127" s="98">
        <v>359</v>
      </c>
      <c r="X127" s="98">
        <v>370</v>
      </c>
      <c r="Y127" s="98">
        <v>368</v>
      </c>
      <c r="Z127" s="98">
        <v>374</v>
      </c>
      <c r="AA127" s="98">
        <v>339</v>
      </c>
      <c r="AB127" s="98">
        <v>314</v>
      </c>
      <c r="AC127" s="98">
        <v>277</v>
      </c>
      <c r="AD127" s="98">
        <v>248</v>
      </c>
      <c r="AE127" s="98">
        <v>236</v>
      </c>
      <c r="AF127" s="98">
        <v>221</v>
      </c>
      <c r="AG127" s="98">
        <v>213</v>
      </c>
    </row>
    <row r="128" spans="1:33" x14ac:dyDescent="0.3">
      <c r="A128" s="7">
        <v>123</v>
      </c>
      <c r="B128" s="7" t="s">
        <v>519</v>
      </c>
      <c r="C128" s="7" t="s">
        <v>27</v>
      </c>
      <c r="D128" s="8">
        <f>'CDC Source Data'!D53</f>
        <v>142211</v>
      </c>
      <c r="E128" s="8">
        <f>'CDC Source Data'!E53</f>
        <v>38</v>
      </c>
      <c r="F128" s="31">
        <f t="shared" si="1"/>
        <v>26.855148623705155</v>
      </c>
      <c r="G128" s="9">
        <f>'CDC Source Data'!F53</f>
        <v>0.17</v>
      </c>
      <c r="H128" s="7" t="str">
        <f>'CDC Source Data'!G53</f>
        <v>Completeness of provisional 2019 data under 90% after 6 months.</v>
      </c>
      <c r="I128" s="97">
        <v>34.4</v>
      </c>
      <c r="J128" s="97">
        <v>35.9</v>
      </c>
      <c r="K128" s="98">
        <v>47</v>
      </c>
      <c r="L128" s="98">
        <v>51</v>
      </c>
      <c r="M128" s="98">
        <v>57</v>
      </c>
      <c r="N128" s="98">
        <v>62</v>
      </c>
      <c r="O128" s="98">
        <v>81</v>
      </c>
      <c r="P128" s="98">
        <v>79</v>
      </c>
      <c r="Q128" s="98">
        <v>90</v>
      </c>
      <c r="R128" s="98">
        <v>95</v>
      </c>
      <c r="S128" s="98">
        <v>89</v>
      </c>
      <c r="T128" s="98">
        <v>92</v>
      </c>
      <c r="U128" s="98">
        <v>82</v>
      </c>
      <c r="V128" s="98">
        <v>76</v>
      </c>
      <c r="W128" s="98">
        <v>73</v>
      </c>
      <c r="X128" s="98">
        <v>73</v>
      </c>
      <c r="Y128" s="98">
        <v>69</v>
      </c>
      <c r="Z128" s="98">
        <v>64</v>
      </c>
      <c r="AA128" s="98">
        <v>64</v>
      </c>
      <c r="AB128" s="98">
        <v>55</v>
      </c>
      <c r="AC128" s="98">
        <v>49</v>
      </c>
      <c r="AD128" s="98">
        <v>46</v>
      </c>
      <c r="AE128" s="98">
        <v>34</v>
      </c>
      <c r="AF128" s="98">
        <v>39</v>
      </c>
      <c r="AG128" s="98">
        <v>38</v>
      </c>
    </row>
    <row r="129" spans="1:33" x14ac:dyDescent="0.3">
      <c r="A129" s="7">
        <v>124</v>
      </c>
      <c r="B129" s="7" t="s">
        <v>520</v>
      </c>
      <c r="C129" s="7" t="s">
        <v>475</v>
      </c>
      <c r="D129" s="8">
        <f>'CDC Source Data'!D237</f>
        <v>1273334</v>
      </c>
      <c r="E129" s="8">
        <f>'CDC Source Data'!E237</f>
        <v>340</v>
      </c>
      <c r="F129" s="31">
        <f t="shared" si="1"/>
        <v>26.720858442736496</v>
      </c>
      <c r="G129" s="9">
        <f>'CDC Source Data'!F237</f>
        <v>0.01</v>
      </c>
      <c r="H129" s="7">
        <f>'CDC Source Data'!G237</f>
        <v>0</v>
      </c>
      <c r="I129" s="97">
        <v>16.899999999999999</v>
      </c>
      <c r="J129" s="97">
        <v>17.7</v>
      </c>
      <c r="K129" s="98">
        <v>256</v>
      </c>
      <c r="L129" s="98">
        <v>286</v>
      </c>
      <c r="M129" s="98">
        <v>312</v>
      </c>
      <c r="N129" s="98">
        <v>339</v>
      </c>
      <c r="O129" s="98">
        <v>361</v>
      </c>
      <c r="P129" s="98">
        <v>367</v>
      </c>
      <c r="Q129" s="98">
        <v>398</v>
      </c>
      <c r="R129" s="98">
        <v>427</v>
      </c>
      <c r="S129" s="98">
        <v>420</v>
      </c>
      <c r="T129" s="98">
        <v>429</v>
      </c>
      <c r="U129" s="98">
        <v>425</v>
      </c>
      <c r="V129" s="98">
        <v>460</v>
      </c>
      <c r="W129" s="98">
        <v>496</v>
      </c>
      <c r="X129" s="98">
        <v>524</v>
      </c>
      <c r="Y129" s="98">
        <v>521</v>
      </c>
      <c r="Z129" s="98">
        <v>492</v>
      </c>
      <c r="AA129" s="98">
        <v>460</v>
      </c>
      <c r="AB129" s="98">
        <v>426</v>
      </c>
      <c r="AC129" s="98">
        <v>392</v>
      </c>
      <c r="AD129" s="98">
        <v>350</v>
      </c>
      <c r="AE129" s="98">
        <v>346</v>
      </c>
      <c r="AF129" s="98">
        <v>347</v>
      </c>
      <c r="AG129" s="98">
        <v>340</v>
      </c>
    </row>
    <row r="130" spans="1:33" x14ac:dyDescent="0.3">
      <c r="A130" s="7">
        <v>125</v>
      </c>
      <c r="B130" s="7" t="s">
        <v>521</v>
      </c>
      <c r="C130" s="7" t="s">
        <v>19</v>
      </c>
      <c r="D130" s="8">
        <f>'CDC Source Data'!D38</f>
        <v>165540</v>
      </c>
      <c r="E130" s="8">
        <f>'CDC Source Data'!E38</f>
        <v>44</v>
      </c>
      <c r="F130" s="31">
        <f t="shared" si="1"/>
        <v>26.701556700755653</v>
      </c>
      <c r="G130" s="9">
        <f>'CDC Source Data'!F38</f>
        <v>0.18</v>
      </c>
      <c r="H130" s="7">
        <f>'CDC Source Data'!G38</f>
        <v>0</v>
      </c>
      <c r="I130" s="97">
        <v>33</v>
      </c>
      <c r="J130" s="97">
        <v>34.5</v>
      </c>
      <c r="K130" s="98">
        <v>67</v>
      </c>
      <c r="L130" s="98">
        <v>73</v>
      </c>
      <c r="M130" s="98">
        <v>79</v>
      </c>
      <c r="N130" s="98">
        <v>67</v>
      </c>
      <c r="O130" s="98">
        <v>68</v>
      </c>
      <c r="P130" s="98">
        <v>66</v>
      </c>
      <c r="Q130" s="98">
        <v>65</v>
      </c>
      <c r="R130" s="98">
        <v>71</v>
      </c>
      <c r="S130" s="98">
        <v>66</v>
      </c>
      <c r="T130" s="98">
        <v>62</v>
      </c>
      <c r="U130" s="98">
        <v>63</v>
      </c>
      <c r="V130" s="98">
        <v>69</v>
      </c>
      <c r="W130" s="98">
        <v>66</v>
      </c>
      <c r="X130" s="98">
        <v>75</v>
      </c>
      <c r="Y130" s="98">
        <v>75</v>
      </c>
      <c r="Z130" s="98">
        <v>72</v>
      </c>
      <c r="AA130" s="98">
        <v>76</v>
      </c>
      <c r="AB130" s="98">
        <v>68</v>
      </c>
      <c r="AC130" s="98">
        <v>66</v>
      </c>
      <c r="AD130" s="98">
        <v>61</v>
      </c>
      <c r="AE130" s="98">
        <v>57</v>
      </c>
      <c r="AF130" s="98">
        <v>54</v>
      </c>
      <c r="AG130" s="98">
        <v>44</v>
      </c>
    </row>
    <row r="131" spans="1:33" x14ac:dyDescent="0.3">
      <c r="A131" s="7">
        <v>126</v>
      </c>
      <c r="B131" s="7" t="s">
        <v>522</v>
      </c>
      <c r="C131" s="7" t="s">
        <v>490</v>
      </c>
      <c r="D131" s="8">
        <f>'CDC Source Data'!D412</f>
        <v>816490</v>
      </c>
      <c r="E131" s="8">
        <f>'CDC Source Data'!E412</f>
        <v>217</v>
      </c>
      <c r="F131" s="31">
        <f t="shared" si="1"/>
        <v>26.57967862752205</v>
      </c>
      <c r="G131" s="9">
        <f>'CDC Source Data'!F412</f>
        <v>0.08</v>
      </c>
      <c r="H131" s="7" t="str">
        <f>'CDC Source Data'!G412</f>
        <v>Completeness of provisional 2019 data under 90% after 6 months.</v>
      </c>
      <c r="I131" s="97">
        <v>24.1</v>
      </c>
      <c r="J131" s="97">
        <v>25.2</v>
      </c>
      <c r="K131" s="98">
        <v>163</v>
      </c>
      <c r="L131" s="98">
        <v>161</v>
      </c>
      <c r="M131" s="98">
        <v>166</v>
      </c>
      <c r="N131" s="98">
        <v>179</v>
      </c>
      <c r="O131" s="98">
        <v>174</v>
      </c>
      <c r="P131" s="98">
        <v>178</v>
      </c>
      <c r="Q131" s="98">
        <v>195</v>
      </c>
      <c r="R131" s="98">
        <v>214</v>
      </c>
      <c r="S131" s="98">
        <v>237</v>
      </c>
      <c r="T131" s="98">
        <v>249</v>
      </c>
      <c r="U131" s="98">
        <v>250</v>
      </c>
      <c r="V131" s="98">
        <v>262</v>
      </c>
      <c r="W131" s="98">
        <v>294</v>
      </c>
      <c r="X131" s="98">
        <v>310</v>
      </c>
      <c r="Y131" s="98">
        <v>315</v>
      </c>
      <c r="Z131" s="98">
        <v>317</v>
      </c>
      <c r="AA131" s="98">
        <v>305</v>
      </c>
      <c r="AB131" s="98">
        <v>303</v>
      </c>
      <c r="AC131" s="98">
        <v>288</v>
      </c>
      <c r="AD131" s="98">
        <v>253</v>
      </c>
      <c r="AE131" s="98">
        <v>247</v>
      </c>
      <c r="AF131" s="98">
        <v>236</v>
      </c>
      <c r="AG131" s="98">
        <v>217</v>
      </c>
    </row>
    <row r="132" spans="1:33" x14ac:dyDescent="0.3">
      <c r="A132" s="7">
        <v>127</v>
      </c>
      <c r="B132" s="7" t="s">
        <v>30</v>
      </c>
      <c r="C132" s="7" t="s">
        <v>467</v>
      </c>
      <c r="D132" s="8">
        <f>'CDC Source Data'!D145</f>
        <v>177809</v>
      </c>
      <c r="E132" s="8">
        <f>'CDC Source Data'!E145</f>
        <v>47</v>
      </c>
      <c r="F132" s="31">
        <f t="shared" si="1"/>
        <v>26.577177920121493</v>
      </c>
      <c r="G132" s="9">
        <f>'CDC Source Data'!F145</f>
        <v>0.63</v>
      </c>
      <c r="H132" s="7" t="str">
        <f>'CDC Source Data'!G145</f>
        <v>Completeness of provisional 2019 data under 90% after 6 months.</v>
      </c>
      <c r="I132" s="97">
        <v>31.2</v>
      </c>
      <c r="J132" s="97">
        <v>32.6</v>
      </c>
      <c r="K132" s="98">
        <v>52</v>
      </c>
      <c r="L132" s="98">
        <v>66</v>
      </c>
      <c r="M132" s="98">
        <v>80</v>
      </c>
      <c r="N132" s="98">
        <v>90</v>
      </c>
      <c r="O132" s="98">
        <v>103</v>
      </c>
      <c r="P132" s="98">
        <v>109</v>
      </c>
      <c r="Q132" s="98">
        <v>112</v>
      </c>
      <c r="R132" s="98">
        <v>115</v>
      </c>
      <c r="S132" s="98">
        <v>112</v>
      </c>
      <c r="T132" s="98">
        <v>97</v>
      </c>
      <c r="U132" s="98">
        <v>95</v>
      </c>
      <c r="V132" s="98">
        <v>97</v>
      </c>
      <c r="W132" s="98">
        <v>94</v>
      </c>
      <c r="X132" s="98">
        <v>109</v>
      </c>
      <c r="Y132" s="98">
        <v>101</v>
      </c>
      <c r="Z132" s="98">
        <v>87</v>
      </c>
      <c r="AA132" s="98">
        <v>81</v>
      </c>
      <c r="AB132" s="98">
        <v>67</v>
      </c>
      <c r="AC132" s="98">
        <v>53</v>
      </c>
      <c r="AD132" s="98">
        <v>49</v>
      </c>
      <c r="AE132" s="98">
        <v>44</v>
      </c>
      <c r="AF132" s="98">
        <v>43</v>
      </c>
      <c r="AG132" s="98">
        <v>47</v>
      </c>
    </row>
    <row r="133" spans="1:33" x14ac:dyDescent="0.3">
      <c r="A133" s="7">
        <v>128</v>
      </c>
      <c r="B133" s="7" t="s">
        <v>486</v>
      </c>
      <c r="C133" s="7" t="s">
        <v>458</v>
      </c>
      <c r="D133" s="8">
        <f>'CDC Source Data'!D624</f>
        <v>303001</v>
      </c>
      <c r="E133" s="8">
        <f>'CDC Source Data'!E624</f>
        <v>80</v>
      </c>
      <c r="F133" s="31">
        <f t="shared" si="1"/>
        <v>26.432857729361281</v>
      </c>
      <c r="G133" s="9">
        <f>'CDC Source Data'!F624</f>
        <v>0.19</v>
      </c>
      <c r="H133" s="7">
        <f>'CDC Source Data'!G624</f>
        <v>0</v>
      </c>
      <c r="I133" s="97">
        <v>22.2</v>
      </c>
      <c r="J133" s="97">
        <v>23.2</v>
      </c>
      <c r="K133" s="98">
        <v>66</v>
      </c>
      <c r="L133" s="98">
        <v>70</v>
      </c>
      <c r="M133" s="98">
        <v>78</v>
      </c>
      <c r="N133" s="98">
        <v>89</v>
      </c>
      <c r="O133" s="98">
        <v>96</v>
      </c>
      <c r="P133" s="98">
        <v>107</v>
      </c>
      <c r="Q133" s="98">
        <v>119</v>
      </c>
      <c r="R133" s="98">
        <v>136</v>
      </c>
      <c r="S133" s="98">
        <v>140</v>
      </c>
      <c r="T133" s="98">
        <v>134</v>
      </c>
      <c r="U133" s="98">
        <v>116</v>
      </c>
      <c r="V133" s="98">
        <v>103</v>
      </c>
      <c r="W133" s="98">
        <v>103</v>
      </c>
      <c r="X133" s="98">
        <v>113</v>
      </c>
      <c r="Y133" s="98">
        <v>119</v>
      </c>
      <c r="Z133" s="98">
        <v>118</v>
      </c>
      <c r="AA133" s="98">
        <v>112</v>
      </c>
      <c r="AB133" s="98">
        <v>99</v>
      </c>
      <c r="AC133" s="98">
        <v>94</v>
      </c>
      <c r="AD133" s="98">
        <v>92</v>
      </c>
      <c r="AE133" s="98">
        <v>92</v>
      </c>
      <c r="AF133" s="98">
        <v>84</v>
      </c>
      <c r="AG133" s="98">
        <v>80</v>
      </c>
    </row>
    <row r="134" spans="1:33" x14ac:dyDescent="0.3">
      <c r="A134" s="7">
        <v>129</v>
      </c>
      <c r="B134" s="7" t="s">
        <v>523</v>
      </c>
      <c r="C134" s="7" t="s">
        <v>41</v>
      </c>
      <c r="D134" s="8">
        <f>'CDC Source Data'!D287</f>
        <v>174862</v>
      </c>
      <c r="E134" s="8">
        <f>'CDC Source Data'!E287</f>
        <v>46</v>
      </c>
      <c r="F134" s="31">
        <f t="shared" ref="F134:F197" si="2">IFERROR(E133/D133*100000,"")</f>
        <v>26.402553126887369</v>
      </c>
      <c r="G134" s="9">
        <f>'CDC Source Data'!F287</f>
        <v>0</v>
      </c>
      <c r="H134" s="7" t="str">
        <f>'CDC Source Data'!G287</f>
        <v>Completeness of provisional 2019 data under 90% after 6 months.</v>
      </c>
      <c r="I134" s="97">
        <v>53.1</v>
      </c>
      <c r="J134" s="97">
        <v>55.4</v>
      </c>
      <c r="K134" s="98">
        <v>88</v>
      </c>
      <c r="L134" s="98">
        <v>95</v>
      </c>
      <c r="M134" s="98">
        <v>102</v>
      </c>
      <c r="N134" s="98">
        <v>96</v>
      </c>
      <c r="O134" s="98">
        <v>99</v>
      </c>
      <c r="P134" s="98">
        <v>89</v>
      </c>
      <c r="Q134" s="98">
        <v>96</v>
      </c>
      <c r="R134" s="98">
        <v>103</v>
      </c>
      <c r="S134" s="98">
        <v>93</v>
      </c>
      <c r="T134" s="98">
        <v>102</v>
      </c>
      <c r="U134" s="98">
        <v>84</v>
      </c>
      <c r="V134" s="98">
        <v>71</v>
      </c>
      <c r="W134" s="98">
        <v>73</v>
      </c>
      <c r="X134" s="98">
        <v>75</v>
      </c>
      <c r="Y134" s="98">
        <v>86</v>
      </c>
      <c r="Z134" s="98">
        <v>88</v>
      </c>
      <c r="AA134" s="98">
        <v>88</v>
      </c>
      <c r="AB134" s="98">
        <v>72</v>
      </c>
      <c r="AC134" s="98">
        <v>65</v>
      </c>
      <c r="AD134" s="98">
        <v>58</v>
      </c>
      <c r="AE134" s="98">
        <v>48</v>
      </c>
      <c r="AF134" s="98">
        <v>55</v>
      </c>
      <c r="AG134" s="98">
        <v>46</v>
      </c>
    </row>
    <row r="135" spans="1:33" x14ac:dyDescent="0.3">
      <c r="A135" s="7">
        <v>130</v>
      </c>
      <c r="B135" s="7" t="s">
        <v>524</v>
      </c>
      <c r="C135" s="7" t="s">
        <v>262</v>
      </c>
      <c r="D135" s="8">
        <f>'CDC Source Data'!D526</f>
        <v>251149</v>
      </c>
      <c r="E135" s="8">
        <f>'CDC Source Data'!E526</f>
        <v>66</v>
      </c>
      <c r="F135" s="31">
        <f t="shared" si="2"/>
        <v>26.306458807516787</v>
      </c>
      <c r="G135" s="9">
        <f>'CDC Source Data'!F526</f>
        <v>0</v>
      </c>
      <c r="H135" s="7">
        <f>'CDC Source Data'!G526</f>
        <v>0</v>
      </c>
      <c r="I135" s="97">
        <v>21.1</v>
      </c>
      <c r="J135" s="97">
        <v>22.1</v>
      </c>
      <c r="K135" s="98">
        <v>87</v>
      </c>
      <c r="L135" s="98">
        <v>89</v>
      </c>
      <c r="M135" s="98">
        <v>91</v>
      </c>
      <c r="N135" s="98">
        <v>96</v>
      </c>
      <c r="O135" s="98">
        <v>97</v>
      </c>
      <c r="P135" s="98">
        <v>97</v>
      </c>
      <c r="Q135" s="98">
        <v>94</v>
      </c>
      <c r="R135" s="98">
        <v>99</v>
      </c>
      <c r="S135" s="98">
        <v>92</v>
      </c>
      <c r="T135" s="98">
        <v>96</v>
      </c>
      <c r="U135" s="98">
        <v>87</v>
      </c>
      <c r="V135" s="98">
        <v>81</v>
      </c>
      <c r="W135" s="98">
        <v>84</v>
      </c>
      <c r="X135" s="98">
        <v>76</v>
      </c>
      <c r="Y135" s="98">
        <v>77</v>
      </c>
      <c r="Z135" s="98">
        <v>80</v>
      </c>
      <c r="AA135" s="98">
        <v>68</v>
      </c>
      <c r="AB135" s="98">
        <v>68</v>
      </c>
      <c r="AC135" s="98">
        <v>67</v>
      </c>
      <c r="AD135" s="98">
        <v>64</v>
      </c>
      <c r="AE135" s="98">
        <v>66</v>
      </c>
      <c r="AF135" s="98">
        <v>65</v>
      </c>
      <c r="AG135" s="98">
        <v>66</v>
      </c>
    </row>
    <row r="136" spans="1:33" x14ac:dyDescent="0.3">
      <c r="A136" s="7">
        <v>131</v>
      </c>
      <c r="B136" s="7" t="s">
        <v>525</v>
      </c>
      <c r="C136" s="7" t="s">
        <v>526</v>
      </c>
      <c r="D136" s="8">
        <f>'CDC Source Data'!D351</f>
        <v>163688</v>
      </c>
      <c r="E136" s="8">
        <f>'CDC Source Data'!E351</f>
        <v>43</v>
      </c>
      <c r="F136" s="31">
        <f t="shared" si="2"/>
        <v>26.279220701655195</v>
      </c>
      <c r="G136" s="9">
        <f>'CDC Source Data'!F351</f>
        <v>0.15</v>
      </c>
      <c r="H136" s="7" t="str">
        <f>'CDC Source Data'!G351</f>
        <v>Completeness of provisional 2019 data under 90% after 6 months.</v>
      </c>
      <c r="I136" s="97">
        <v>15</v>
      </c>
      <c r="J136" s="97">
        <v>15.7</v>
      </c>
      <c r="K136" s="98">
        <v>23</v>
      </c>
      <c r="L136" s="98">
        <v>30</v>
      </c>
      <c r="M136" s="98">
        <v>27</v>
      </c>
      <c r="N136" s="98">
        <v>29</v>
      </c>
      <c r="O136" s="98">
        <v>33</v>
      </c>
      <c r="P136" s="98">
        <v>34</v>
      </c>
      <c r="Q136" s="98">
        <v>32</v>
      </c>
      <c r="R136" s="98">
        <v>34</v>
      </c>
      <c r="S136" s="98">
        <v>33</v>
      </c>
      <c r="T136" s="98">
        <v>26</v>
      </c>
      <c r="U136" s="98">
        <v>35</v>
      </c>
      <c r="V136" s="98">
        <v>34</v>
      </c>
      <c r="W136" s="98">
        <v>39</v>
      </c>
      <c r="X136" s="98">
        <v>53</v>
      </c>
      <c r="Y136" s="98">
        <v>56</v>
      </c>
      <c r="Z136" s="98">
        <v>55</v>
      </c>
      <c r="AA136" s="98">
        <v>51</v>
      </c>
      <c r="AB136" s="98">
        <v>47</v>
      </c>
      <c r="AC136" s="98">
        <v>38</v>
      </c>
      <c r="AD136" s="98">
        <v>43</v>
      </c>
      <c r="AE136" s="98">
        <v>46</v>
      </c>
      <c r="AF136" s="98">
        <v>38</v>
      </c>
      <c r="AG136" s="98">
        <v>43</v>
      </c>
    </row>
    <row r="137" spans="1:33" x14ac:dyDescent="0.3">
      <c r="A137" s="7">
        <v>132</v>
      </c>
      <c r="B137" s="7" t="s">
        <v>527</v>
      </c>
      <c r="C137" s="7" t="s">
        <v>24</v>
      </c>
      <c r="D137" s="8">
        <f>'CDC Source Data'!D322</f>
        <v>152886</v>
      </c>
      <c r="E137" s="8">
        <f>'CDC Source Data'!E322</f>
        <v>40</v>
      </c>
      <c r="F137" s="31">
        <f t="shared" si="2"/>
        <v>26.269488294804752</v>
      </c>
      <c r="G137" s="9">
        <f>'CDC Source Data'!F322</f>
        <v>0</v>
      </c>
      <c r="H137" s="7">
        <f>'CDC Source Data'!G322</f>
        <v>0</v>
      </c>
      <c r="I137" s="97">
        <v>42.3</v>
      </c>
      <c r="J137" s="97">
        <v>44.2</v>
      </c>
      <c r="K137" s="98">
        <v>61</v>
      </c>
      <c r="L137" s="98">
        <v>68</v>
      </c>
      <c r="M137" s="98">
        <v>76</v>
      </c>
      <c r="N137" s="98">
        <v>79</v>
      </c>
      <c r="O137" s="98">
        <v>101</v>
      </c>
      <c r="P137" s="98">
        <v>107</v>
      </c>
      <c r="Q137" s="98">
        <v>118</v>
      </c>
      <c r="R137" s="98">
        <v>134</v>
      </c>
      <c r="S137" s="98">
        <v>130</v>
      </c>
      <c r="T137" s="98">
        <v>139</v>
      </c>
      <c r="U137" s="98">
        <v>144</v>
      </c>
      <c r="V137" s="98">
        <v>129</v>
      </c>
      <c r="W137" s="98">
        <v>127</v>
      </c>
      <c r="X137" s="98">
        <v>118</v>
      </c>
      <c r="Y137" s="98">
        <v>107</v>
      </c>
      <c r="Z137" s="98">
        <v>108</v>
      </c>
      <c r="AA137" s="98">
        <v>102</v>
      </c>
      <c r="AB137" s="98">
        <v>89</v>
      </c>
      <c r="AC137" s="98">
        <v>80</v>
      </c>
      <c r="AD137" s="98">
        <v>65</v>
      </c>
      <c r="AE137" s="98">
        <v>45</v>
      </c>
      <c r="AF137" s="98">
        <v>45</v>
      </c>
      <c r="AG137" s="98">
        <v>40</v>
      </c>
    </row>
    <row r="138" spans="1:33" x14ac:dyDescent="0.3">
      <c r="A138" s="7">
        <v>133</v>
      </c>
      <c r="B138" s="7" t="s">
        <v>528</v>
      </c>
      <c r="C138" s="7" t="s">
        <v>463</v>
      </c>
      <c r="D138" s="8">
        <f>'CDC Source Data'!D183</f>
        <v>103207</v>
      </c>
      <c r="E138" s="8">
        <f>'CDC Source Data'!E183</f>
        <v>27</v>
      </c>
      <c r="F138" s="31">
        <f t="shared" si="2"/>
        <v>26.163285062072397</v>
      </c>
      <c r="G138" s="9">
        <f>'CDC Source Data'!F183</f>
        <v>0.13</v>
      </c>
      <c r="H138" s="7" t="str">
        <f>'CDC Source Data'!G183</f>
        <v>Completeness of provisional 2019 data under 90% after 6 months.</v>
      </c>
      <c r="I138" s="97">
        <v>21.6</v>
      </c>
      <c r="J138" s="97">
        <v>22.6</v>
      </c>
      <c r="K138" s="98">
        <v>23</v>
      </c>
      <c r="L138" s="98">
        <v>21</v>
      </c>
      <c r="M138" s="98">
        <v>23</v>
      </c>
      <c r="N138" s="98">
        <v>20</v>
      </c>
      <c r="O138" s="98">
        <v>20</v>
      </c>
      <c r="P138" s="98">
        <v>17</v>
      </c>
      <c r="Q138" s="98">
        <v>23</v>
      </c>
      <c r="R138" s="98">
        <v>29</v>
      </c>
      <c r="S138" s="98">
        <v>31</v>
      </c>
      <c r="T138" s="98">
        <v>34</v>
      </c>
      <c r="U138" s="98">
        <v>31</v>
      </c>
      <c r="V138" s="98">
        <v>31</v>
      </c>
      <c r="W138" s="98">
        <v>28</v>
      </c>
      <c r="X138" s="98">
        <v>26</v>
      </c>
      <c r="Y138" s="98">
        <v>34</v>
      </c>
      <c r="Z138" s="98">
        <v>37</v>
      </c>
      <c r="AA138" s="98">
        <v>44</v>
      </c>
      <c r="AB138" s="98">
        <v>44</v>
      </c>
      <c r="AC138" s="98">
        <v>35</v>
      </c>
      <c r="AD138" s="98">
        <v>38</v>
      </c>
      <c r="AE138" s="98">
        <v>31</v>
      </c>
      <c r="AF138" s="98">
        <v>29</v>
      </c>
      <c r="AG138" s="98">
        <v>27</v>
      </c>
    </row>
    <row r="139" spans="1:33" x14ac:dyDescent="0.3">
      <c r="A139" s="7">
        <v>134</v>
      </c>
      <c r="B139" s="7" t="s">
        <v>529</v>
      </c>
      <c r="C139" s="7" t="s">
        <v>50</v>
      </c>
      <c r="D139" s="8">
        <f>'CDC Source Data'!D441</f>
        <v>965870</v>
      </c>
      <c r="E139" s="8">
        <f>'CDC Source Data'!E441</f>
        <v>251</v>
      </c>
      <c r="F139" s="31">
        <f t="shared" si="2"/>
        <v>26.161016210140783</v>
      </c>
      <c r="G139" s="9">
        <f>'CDC Source Data'!F441</f>
        <v>0.03</v>
      </c>
      <c r="H139" s="7">
        <f>'CDC Source Data'!G441</f>
        <v>0</v>
      </c>
      <c r="I139" s="97">
        <v>36.5</v>
      </c>
      <c r="J139" s="97">
        <v>38.200000000000003</v>
      </c>
      <c r="K139" s="98">
        <v>400</v>
      </c>
      <c r="L139" s="98">
        <v>474</v>
      </c>
      <c r="M139" s="98">
        <v>516</v>
      </c>
      <c r="N139" s="98">
        <v>498</v>
      </c>
      <c r="O139" s="98">
        <v>535</v>
      </c>
      <c r="P139" s="98">
        <v>522</v>
      </c>
      <c r="Q139" s="98">
        <v>527</v>
      </c>
      <c r="R139" s="98">
        <v>542</v>
      </c>
      <c r="S139" s="98">
        <v>537</v>
      </c>
      <c r="T139" s="98">
        <v>547</v>
      </c>
      <c r="U139" s="98">
        <v>552</v>
      </c>
      <c r="V139" s="98">
        <v>540</v>
      </c>
      <c r="W139" s="98">
        <v>538</v>
      </c>
      <c r="X139" s="98">
        <v>508</v>
      </c>
      <c r="Y139" s="98">
        <v>482</v>
      </c>
      <c r="Z139" s="98">
        <v>449</v>
      </c>
      <c r="AA139" s="98">
        <v>426</v>
      </c>
      <c r="AB139" s="98">
        <v>412</v>
      </c>
      <c r="AC139" s="98">
        <v>397</v>
      </c>
      <c r="AD139" s="98">
        <v>367</v>
      </c>
      <c r="AE139" s="98">
        <v>328</v>
      </c>
      <c r="AF139" s="98">
        <v>304</v>
      </c>
      <c r="AG139" s="98">
        <v>251</v>
      </c>
    </row>
    <row r="140" spans="1:33" x14ac:dyDescent="0.3">
      <c r="A140" s="7">
        <v>135</v>
      </c>
      <c r="B140" s="7" t="s">
        <v>530</v>
      </c>
      <c r="C140" s="7" t="s">
        <v>458</v>
      </c>
      <c r="D140" s="8">
        <f>'CDC Source Data'!D98</f>
        <v>431001</v>
      </c>
      <c r="E140" s="8">
        <f>'CDC Source Data'!E98</f>
        <v>112</v>
      </c>
      <c r="F140" s="31">
        <f t="shared" si="2"/>
        <v>25.986934059448991</v>
      </c>
      <c r="G140" s="9">
        <f>'CDC Source Data'!F98</f>
        <v>0.17</v>
      </c>
      <c r="H140" s="7" t="str">
        <f>'CDC Source Data'!G98</f>
        <v>Completeness of provisional 2019 data under 90% after 6 months.</v>
      </c>
      <c r="I140" s="97">
        <v>21.9</v>
      </c>
      <c r="J140" s="97">
        <v>22.8</v>
      </c>
      <c r="K140" s="98">
        <v>114</v>
      </c>
      <c r="L140" s="98">
        <v>131</v>
      </c>
      <c r="M140" s="98">
        <v>149</v>
      </c>
      <c r="N140" s="98">
        <v>163</v>
      </c>
      <c r="O140" s="98">
        <v>163</v>
      </c>
      <c r="P140" s="98">
        <v>164</v>
      </c>
      <c r="Q140" s="98">
        <v>163</v>
      </c>
      <c r="R140" s="98">
        <v>148</v>
      </c>
      <c r="S140" s="98">
        <v>141</v>
      </c>
      <c r="T140" s="98">
        <v>144</v>
      </c>
      <c r="U140" s="98">
        <v>140</v>
      </c>
      <c r="V140" s="98">
        <v>159</v>
      </c>
      <c r="W140" s="98">
        <v>182</v>
      </c>
      <c r="X140" s="98">
        <v>184</v>
      </c>
      <c r="Y140" s="98">
        <v>189</v>
      </c>
      <c r="Z140" s="98">
        <v>192</v>
      </c>
      <c r="AA140" s="98">
        <v>175</v>
      </c>
      <c r="AB140" s="98">
        <v>167</v>
      </c>
      <c r="AC140" s="98">
        <v>164</v>
      </c>
      <c r="AD140" s="98">
        <v>147</v>
      </c>
      <c r="AE140" s="98">
        <v>134</v>
      </c>
      <c r="AF140" s="98">
        <v>128</v>
      </c>
      <c r="AG140" s="98">
        <v>112</v>
      </c>
    </row>
    <row r="141" spans="1:33" x14ac:dyDescent="0.3">
      <c r="A141" s="7">
        <v>136</v>
      </c>
      <c r="B141" s="7" t="s">
        <v>531</v>
      </c>
      <c r="C141" s="7" t="s">
        <v>467</v>
      </c>
      <c r="D141" s="8">
        <f>'CDC Source Data'!D133</f>
        <v>104167</v>
      </c>
      <c r="E141" s="8">
        <f>'CDC Source Data'!E133</f>
        <v>27</v>
      </c>
      <c r="F141" s="31">
        <f t="shared" si="2"/>
        <v>25.986018593924378</v>
      </c>
      <c r="G141" s="9">
        <f>'CDC Source Data'!F133</f>
        <v>0.32</v>
      </c>
      <c r="H141" s="7" t="str">
        <f>'CDC Source Data'!G133</f>
        <v>Completeness of provisional 2019 data under 90% after 6 months.</v>
      </c>
      <c r="I141" s="97">
        <v>30</v>
      </c>
      <c r="J141" s="97">
        <v>31.4</v>
      </c>
      <c r="K141" s="98">
        <v>44</v>
      </c>
      <c r="L141" s="98">
        <v>49</v>
      </c>
      <c r="M141" s="98">
        <v>48</v>
      </c>
      <c r="N141" s="98">
        <v>49</v>
      </c>
      <c r="O141" s="98">
        <v>58</v>
      </c>
      <c r="P141" s="98">
        <v>56</v>
      </c>
      <c r="Q141" s="98">
        <v>59</v>
      </c>
      <c r="R141" s="98">
        <v>62</v>
      </c>
      <c r="S141" s="98">
        <v>66</v>
      </c>
      <c r="T141" s="98">
        <v>77</v>
      </c>
      <c r="U141" s="98">
        <v>86</v>
      </c>
      <c r="V141" s="98">
        <v>90</v>
      </c>
      <c r="W141" s="98">
        <v>85</v>
      </c>
      <c r="X141" s="98">
        <v>74</v>
      </c>
      <c r="Y141" s="98">
        <v>62</v>
      </c>
      <c r="Z141" s="98">
        <v>51</v>
      </c>
      <c r="AA141" s="98">
        <v>38</v>
      </c>
      <c r="AB141" s="98">
        <v>26</v>
      </c>
      <c r="AC141" s="98">
        <v>24</v>
      </c>
      <c r="AD141" s="98">
        <v>29</v>
      </c>
      <c r="AE141" s="98">
        <v>33</v>
      </c>
      <c r="AF141" s="98">
        <v>31</v>
      </c>
      <c r="AG141" s="98">
        <v>27</v>
      </c>
    </row>
    <row r="142" spans="1:33" x14ac:dyDescent="0.3">
      <c r="A142" s="7">
        <v>137</v>
      </c>
      <c r="B142" s="7" t="s">
        <v>532</v>
      </c>
      <c r="C142" s="7" t="s">
        <v>253</v>
      </c>
      <c r="D142" s="8">
        <f>'CDC Source Data'!D44</f>
        <v>136287</v>
      </c>
      <c r="E142" s="8">
        <f>'CDC Source Data'!E44</f>
        <v>35</v>
      </c>
      <c r="F142" s="31">
        <f t="shared" si="2"/>
        <v>25.919917056265422</v>
      </c>
      <c r="G142" s="9">
        <f>'CDC Source Data'!F44</f>
        <v>0.42</v>
      </c>
      <c r="H142" s="7" t="str">
        <f>'CDC Source Data'!G44</f>
        <v>Completeness of provisional 2019 data under 90% after 6 months.</v>
      </c>
      <c r="I142" s="97">
        <v>50.9</v>
      </c>
      <c r="J142" s="97">
        <v>53.2</v>
      </c>
      <c r="K142" s="98">
        <v>67</v>
      </c>
      <c r="L142" s="98">
        <v>90</v>
      </c>
      <c r="M142" s="98">
        <v>115</v>
      </c>
      <c r="N142" s="98">
        <v>111</v>
      </c>
      <c r="O142" s="98">
        <v>103</v>
      </c>
      <c r="P142" s="98">
        <v>93</v>
      </c>
      <c r="Q142" s="98">
        <v>80</v>
      </c>
      <c r="R142" s="98">
        <v>89</v>
      </c>
      <c r="S142" s="98">
        <v>92</v>
      </c>
      <c r="T142" s="98">
        <v>90</v>
      </c>
      <c r="U142" s="98">
        <v>88</v>
      </c>
      <c r="V142" s="98">
        <v>92</v>
      </c>
      <c r="W142" s="98">
        <v>87</v>
      </c>
      <c r="X142" s="98">
        <v>82</v>
      </c>
      <c r="Y142" s="98">
        <v>73</v>
      </c>
      <c r="Z142" s="98">
        <v>65</v>
      </c>
      <c r="AA142" s="98">
        <v>59</v>
      </c>
      <c r="AB142" s="98">
        <v>51</v>
      </c>
      <c r="AC142" s="98">
        <v>50</v>
      </c>
      <c r="AD142" s="98">
        <v>37</v>
      </c>
      <c r="AE142" s="98">
        <v>35</v>
      </c>
      <c r="AF142" s="98">
        <v>39</v>
      </c>
      <c r="AG142" s="98">
        <v>35</v>
      </c>
    </row>
    <row r="143" spans="1:33" x14ac:dyDescent="0.3">
      <c r="A143" s="7">
        <v>138</v>
      </c>
      <c r="B143" s="7" t="s">
        <v>533</v>
      </c>
      <c r="C143" s="7" t="s">
        <v>21</v>
      </c>
      <c r="D143" s="8">
        <f>'CDC Source Data'!D320</f>
        <v>132474</v>
      </c>
      <c r="E143" s="8">
        <f>'CDC Source Data'!E320</f>
        <v>34</v>
      </c>
      <c r="F143" s="31">
        <f t="shared" si="2"/>
        <v>25.681099444554505</v>
      </c>
      <c r="G143" s="9">
        <f>'CDC Source Data'!F320</f>
        <v>0.47</v>
      </c>
      <c r="H143" s="7">
        <f>'CDC Source Data'!G320</f>
        <v>0</v>
      </c>
      <c r="I143" s="97">
        <v>16.7</v>
      </c>
      <c r="J143" s="97">
        <v>17.399999999999999</v>
      </c>
      <c r="K143" s="98">
        <v>23</v>
      </c>
      <c r="L143" s="98">
        <v>26</v>
      </c>
      <c r="M143" s="98">
        <v>26</v>
      </c>
      <c r="N143" s="98">
        <v>25</v>
      </c>
      <c r="O143" s="98">
        <v>21</v>
      </c>
      <c r="P143" s="98">
        <v>17</v>
      </c>
      <c r="Q143" s="98">
        <v>15</v>
      </c>
      <c r="R143" s="98">
        <v>19</v>
      </c>
      <c r="S143" s="98">
        <v>26</v>
      </c>
      <c r="T143" s="98">
        <v>34</v>
      </c>
      <c r="U143" s="98">
        <v>34</v>
      </c>
      <c r="V143" s="98">
        <v>38</v>
      </c>
      <c r="W143" s="98">
        <v>37</v>
      </c>
      <c r="X143" s="98">
        <v>37</v>
      </c>
      <c r="Y143" s="98">
        <v>48</v>
      </c>
      <c r="Z143" s="98">
        <v>46</v>
      </c>
      <c r="AA143" s="98">
        <v>48</v>
      </c>
      <c r="AB143" s="98">
        <v>48</v>
      </c>
      <c r="AC143" s="98">
        <v>42</v>
      </c>
      <c r="AD143" s="98">
        <v>43</v>
      </c>
      <c r="AE143" s="98">
        <v>42</v>
      </c>
      <c r="AF143" s="98">
        <v>39</v>
      </c>
      <c r="AG143" s="98">
        <v>34</v>
      </c>
    </row>
    <row r="144" spans="1:33" x14ac:dyDescent="0.3">
      <c r="A144" s="7">
        <v>139</v>
      </c>
      <c r="B144" s="7" t="s">
        <v>504</v>
      </c>
      <c r="C144" s="7" t="s">
        <v>447</v>
      </c>
      <c r="D144" s="8">
        <f>'CDC Source Data'!D201</f>
        <v>1356303</v>
      </c>
      <c r="E144" s="8">
        <f>'CDC Source Data'!E201</f>
        <v>348</v>
      </c>
      <c r="F144" s="31">
        <f t="shared" si="2"/>
        <v>25.665413590591363</v>
      </c>
      <c r="G144" s="9">
        <f>'CDC Source Data'!F201</f>
        <v>0.08</v>
      </c>
      <c r="H144" s="7">
        <f>'CDC Source Data'!G201</f>
        <v>0</v>
      </c>
      <c r="I144" s="97">
        <v>33</v>
      </c>
      <c r="J144" s="97">
        <v>34.5</v>
      </c>
      <c r="K144" s="98">
        <v>626</v>
      </c>
      <c r="L144" s="98">
        <v>748</v>
      </c>
      <c r="M144" s="98">
        <v>788</v>
      </c>
      <c r="N144" s="98">
        <v>836</v>
      </c>
      <c r="O144" s="98">
        <v>854</v>
      </c>
      <c r="P144" s="98">
        <v>814</v>
      </c>
      <c r="Q144" s="98">
        <v>807</v>
      </c>
      <c r="R144" s="98">
        <v>812</v>
      </c>
      <c r="S144" s="98">
        <v>824</v>
      </c>
      <c r="T144" s="98">
        <v>796</v>
      </c>
      <c r="U144" s="98">
        <v>787</v>
      </c>
      <c r="V144" s="98">
        <v>779</v>
      </c>
      <c r="W144" s="98">
        <v>771</v>
      </c>
      <c r="X144" s="98">
        <v>805</v>
      </c>
      <c r="Y144" s="98">
        <v>783</v>
      </c>
      <c r="Z144" s="98">
        <v>745</v>
      </c>
      <c r="AA144" s="98">
        <v>681</v>
      </c>
      <c r="AB144" s="98">
        <v>616</v>
      </c>
      <c r="AC144" s="98">
        <v>557</v>
      </c>
      <c r="AD144" s="98">
        <v>491</v>
      </c>
      <c r="AE144" s="98">
        <v>449</v>
      </c>
      <c r="AF144" s="98">
        <v>386</v>
      </c>
      <c r="AG144" s="98">
        <v>348</v>
      </c>
    </row>
    <row r="145" spans="1:33" x14ac:dyDescent="0.3">
      <c r="A145" s="7">
        <v>140</v>
      </c>
      <c r="B145" s="7" t="s">
        <v>534</v>
      </c>
      <c r="C145" s="7" t="s">
        <v>24</v>
      </c>
      <c r="D145" s="8">
        <f>'CDC Source Data'!D169</f>
        <v>453022</v>
      </c>
      <c r="E145" s="8">
        <f>'CDC Source Data'!E169</f>
        <v>116</v>
      </c>
      <c r="F145" s="31">
        <f t="shared" si="2"/>
        <v>25.657983503686122</v>
      </c>
      <c r="G145" s="9">
        <f>'CDC Source Data'!F169</f>
        <v>7.0000000000000007E-2</v>
      </c>
      <c r="H145" s="7">
        <f>'CDC Source Data'!G169</f>
        <v>0</v>
      </c>
      <c r="I145" s="97">
        <v>21.3</v>
      </c>
      <c r="J145" s="97">
        <v>22.2</v>
      </c>
      <c r="K145" s="98">
        <v>137</v>
      </c>
      <c r="L145" s="98">
        <v>185</v>
      </c>
      <c r="M145" s="98">
        <v>205</v>
      </c>
      <c r="N145" s="98">
        <v>219</v>
      </c>
      <c r="O145" s="98">
        <v>215</v>
      </c>
      <c r="P145" s="98">
        <v>210</v>
      </c>
      <c r="Q145" s="98">
        <v>242</v>
      </c>
      <c r="R145" s="98">
        <v>270</v>
      </c>
      <c r="S145" s="98">
        <v>296</v>
      </c>
      <c r="T145" s="98">
        <v>308</v>
      </c>
      <c r="U145" s="98">
        <v>275</v>
      </c>
      <c r="V145" s="98">
        <v>279</v>
      </c>
      <c r="W145" s="98">
        <v>278</v>
      </c>
      <c r="X145" s="98">
        <v>262</v>
      </c>
      <c r="Y145" s="98">
        <v>286</v>
      </c>
      <c r="Z145" s="98">
        <v>274</v>
      </c>
      <c r="AA145" s="98">
        <v>250</v>
      </c>
      <c r="AB145" s="98">
        <v>236</v>
      </c>
      <c r="AC145" s="98">
        <v>208</v>
      </c>
      <c r="AD145" s="98">
        <v>179</v>
      </c>
      <c r="AE145" s="98">
        <v>158</v>
      </c>
      <c r="AF145" s="98">
        <v>138</v>
      </c>
      <c r="AG145" s="98">
        <v>116</v>
      </c>
    </row>
    <row r="146" spans="1:33" x14ac:dyDescent="0.3">
      <c r="A146" s="7">
        <v>141</v>
      </c>
      <c r="B146" s="7" t="s">
        <v>535</v>
      </c>
      <c r="C146" s="7" t="s">
        <v>458</v>
      </c>
      <c r="D146" s="8">
        <f>'CDC Source Data'!D315</f>
        <v>313774</v>
      </c>
      <c r="E146" s="8">
        <f>'CDC Source Data'!E315</f>
        <v>80</v>
      </c>
      <c r="F146" s="31">
        <f t="shared" si="2"/>
        <v>25.605820467880143</v>
      </c>
      <c r="G146" s="9">
        <f>'CDC Source Data'!F315</f>
        <v>0.03</v>
      </c>
      <c r="H146" s="7">
        <f>'CDC Source Data'!G315</f>
        <v>0</v>
      </c>
      <c r="I146" s="97">
        <v>21.3</v>
      </c>
      <c r="J146" s="97">
        <v>22.2</v>
      </c>
      <c r="K146" s="98">
        <v>63</v>
      </c>
      <c r="L146" s="98">
        <v>76</v>
      </c>
      <c r="M146" s="98">
        <v>92</v>
      </c>
      <c r="N146" s="98">
        <v>99</v>
      </c>
      <c r="O146" s="98">
        <v>105</v>
      </c>
      <c r="P146" s="98">
        <v>110</v>
      </c>
      <c r="Q146" s="98">
        <v>102</v>
      </c>
      <c r="R146" s="98">
        <v>103</v>
      </c>
      <c r="S146" s="98">
        <v>119</v>
      </c>
      <c r="T146" s="98">
        <v>110</v>
      </c>
      <c r="U146" s="98">
        <v>118</v>
      </c>
      <c r="V146" s="98">
        <v>117</v>
      </c>
      <c r="W146" s="98">
        <v>103</v>
      </c>
      <c r="X146" s="98">
        <v>111</v>
      </c>
      <c r="Y146" s="98">
        <v>105</v>
      </c>
      <c r="Z146" s="98">
        <v>104</v>
      </c>
      <c r="AA146" s="98">
        <v>102</v>
      </c>
      <c r="AB146" s="98">
        <v>102</v>
      </c>
      <c r="AC146" s="98">
        <v>88</v>
      </c>
      <c r="AD146" s="98">
        <v>90</v>
      </c>
      <c r="AE146" s="98">
        <v>86</v>
      </c>
      <c r="AF146" s="98">
        <v>78</v>
      </c>
      <c r="AG146" s="98">
        <v>80</v>
      </c>
    </row>
    <row r="147" spans="1:33" x14ac:dyDescent="0.3">
      <c r="A147" s="7">
        <v>142</v>
      </c>
      <c r="B147" s="7" t="s">
        <v>536</v>
      </c>
      <c r="C147" s="7" t="s">
        <v>27</v>
      </c>
      <c r="D147" s="8">
        <f>'CDC Source Data'!D478</f>
        <v>376996</v>
      </c>
      <c r="E147" s="8">
        <f>'CDC Source Data'!E478</f>
        <v>96</v>
      </c>
      <c r="F147" s="31">
        <f t="shared" si="2"/>
        <v>25.496057672082458</v>
      </c>
      <c r="G147" s="9">
        <f>'CDC Source Data'!F478</f>
        <v>0.04</v>
      </c>
      <c r="H147" s="7">
        <f>'CDC Source Data'!G478</f>
        <v>0</v>
      </c>
      <c r="I147" s="97">
        <v>22.2</v>
      </c>
      <c r="J147" s="97">
        <v>23.2</v>
      </c>
      <c r="K147" s="98">
        <v>89</v>
      </c>
      <c r="L147" s="98">
        <v>101</v>
      </c>
      <c r="M147" s="98">
        <v>117</v>
      </c>
      <c r="N147" s="98">
        <v>127</v>
      </c>
      <c r="O147" s="98">
        <v>154</v>
      </c>
      <c r="P147" s="98">
        <v>159</v>
      </c>
      <c r="Q147" s="98">
        <v>150</v>
      </c>
      <c r="R147" s="98">
        <v>141</v>
      </c>
      <c r="S147" s="98">
        <v>131</v>
      </c>
      <c r="T147" s="98">
        <v>122</v>
      </c>
      <c r="U147" s="98">
        <v>123</v>
      </c>
      <c r="V147" s="98">
        <v>130</v>
      </c>
      <c r="W147" s="98">
        <v>119</v>
      </c>
      <c r="X147" s="98">
        <v>121</v>
      </c>
      <c r="Y147" s="98">
        <v>117</v>
      </c>
      <c r="Z147" s="98">
        <v>114</v>
      </c>
      <c r="AA147" s="98">
        <v>127</v>
      </c>
      <c r="AB147" s="98">
        <v>118</v>
      </c>
      <c r="AC147" s="98">
        <v>101</v>
      </c>
      <c r="AD147" s="98">
        <v>98</v>
      </c>
      <c r="AE147" s="98">
        <v>84</v>
      </c>
      <c r="AF147" s="98">
        <v>88</v>
      </c>
      <c r="AG147" s="98">
        <v>96</v>
      </c>
    </row>
    <row r="148" spans="1:33" x14ac:dyDescent="0.3">
      <c r="A148" s="7">
        <v>143</v>
      </c>
      <c r="B148" s="7" t="s">
        <v>537</v>
      </c>
      <c r="C148" s="7" t="s">
        <v>15</v>
      </c>
      <c r="D148" s="8">
        <f>'CDC Source Data'!D379</f>
        <v>436251</v>
      </c>
      <c r="E148" s="8">
        <f>'CDC Source Data'!E379</f>
        <v>110</v>
      </c>
      <c r="F148" s="31">
        <f t="shared" si="2"/>
        <v>25.464461161391629</v>
      </c>
      <c r="G148" s="9">
        <f>'CDC Source Data'!F379</f>
        <v>0.04</v>
      </c>
      <c r="H148" s="7" t="str">
        <f>'CDC Source Data'!G379</f>
        <v>Completeness of provisional 2019 data under 90% after 6 months.</v>
      </c>
      <c r="I148" s="97">
        <v>15.5</v>
      </c>
      <c r="J148" s="97">
        <v>16.2</v>
      </c>
      <c r="K148" s="98">
        <v>78</v>
      </c>
      <c r="L148" s="98">
        <v>78</v>
      </c>
      <c r="M148" s="98">
        <v>93</v>
      </c>
      <c r="N148" s="98">
        <v>98</v>
      </c>
      <c r="O148" s="98">
        <v>97</v>
      </c>
      <c r="P148" s="98">
        <v>105</v>
      </c>
      <c r="Q148" s="98">
        <v>102</v>
      </c>
      <c r="R148" s="98">
        <v>98</v>
      </c>
      <c r="S148" s="98">
        <v>92</v>
      </c>
      <c r="T148" s="98">
        <v>96</v>
      </c>
      <c r="U148" s="98">
        <v>89</v>
      </c>
      <c r="V148" s="98">
        <v>90</v>
      </c>
      <c r="W148" s="98">
        <v>103</v>
      </c>
      <c r="X148" s="98">
        <v>111</v>
      </c>
      <c r="Y148" s="98">
        <v>129</v>
      </c>
      <c r="Z148" s="98">
        <v>135</v>
      </c>
      <c r="AA148" s="98">
        <v>140</v>
      </c>
      <c r="AB148" s="98">
        <v>136</v>
      </c>
      <c r="AC148" s="98">
        <v>116</v>
      </c>
      <c r="AD148" s="98">
        <v>116</v>
      </c>
      <c r="AE148" s="98">
        <v>100</v>
      </c>
      <c r="AF148" s="98">
        <v>100</v>
      </c>
      <c r="AG148" s="98">
        <v>110</v>
      </c>
    </row>
    <row r="149" spans="1:33" x14ac:dyDescent="0.3">
      <c r="A149" s="7">
        <v>144</v>
      </c>
      <c r="B149" s="7" t="s">
        <v>538</v>
      </c>
      <c r="C149" s="7" t="s">
        <v>15</v>
      </c>
      <c r="D149" s="8">
        <f>'CDC Source Data'!D488</f>
        <v>281843</v>
      </c>
      <c r="E149" s="8">
        <f>'CDC Source Data'!E488</f>
        <v>71</v>
      </c>
      <c r="F149" s="31">
        <f t="shared" si="2"/>
        <v>25.214841914402488</v>
      </c>
      <c r="G149" s="9">
        <f>'CDC Source Data'!F488</f>
        <v>0.3</v>
      </c>
      <c r="H149" s="7">
        <f>'CDC Source Data'!G488</f>
        <v>0</v>
      </c>
      <c r="I149" s="97">
        <v>20.5</v>
      </c>
      <c r="J149" s="97">
        <v>21.4</v>
      </c>
      <c r="K149" s="98">
        <v>57</v>
      </c>
      <c r="L149" s="98">
        <v>64</v>
      </c>
      <c r="M149" s="98">
        <v>77</v>
      </c>
      <c r="N149" s="98">
        <v>84</v>
      </c>
      <c r="O149" s="98">
        <v>104</v>
      </c>
      <c r="P149" s="98">
        <v>113</v>
      </c>
      <c r="Q149" s="98">
        <v>113</v>
      </c>
      <c r="R149" s="98">
        <v>116</v>
      </c>
      <c r="S149" s="98">
        <v>109</v>
      </c>
      <c r="T149" s="98">
        <v>106</v>
      </c>
      <c r="U149" s="98">
        <v>93</v>
      </c>
      <c r="V149" s="98">
        <v>92</v>
      </c>
      <c r="W149" s="98">
        <v>96</v>
      </c>
      <c r="X149" s="98">
        <v>90</v>
      </c>
      <c r="Y149" s="98">
        <v>102</v>
      </c>
      <c r="Z149" s="98">
        <v>101</v>
      </c>
      <c r="AA149" s="98">
        <v>89</v>
      </c>
      <c r="AB149" s="98">
        <v>89</v>
      </c>
      <c r="AC149" s="98">
        <v>69</v>
      </c>
      <c r="AD149" s="98">
        <v>67</v>
      </c>
      <c r="AE149" s="98">
        <v>64</v>
      </c>
      <c r="AF149" s="98">
        <v>64</v>
      </c>
      <c r="AG149" s="98">
        <v>71</v>
      </c>
    </row>
    <row r="150" spans="1:33" x14ac:dyDescent="0.3">
      <c r="A150" s="7">
        <v>145</v>
      </c>
      <c r="B150" s="7" t="s">
        <v>539</v>
      </c>
      <c r="C150" s="7" t="s">
        <v>447</v>
      </c>
      <c r="D150" s="8">
        <f>'CDC Source Data'!D547</f>
        <v>538370</v>
      </c>
      <c r="E150" s="8">
        <f>'CDC Source Data'!E547</f>
        <v>135</v>
      </c>
      <c r="F150" s="31">
        <f t="shared" si="2"/>
        <v>25.191329924816298</v>
      </c>
      <c r="G150" s="9">
        <f>'CDC Source Data'!F547</f>
        <v>0.02</v>
      </c>
      <c r="H150" s="7">
        <f>'CDC Source Data'!G547</f>
        <v>0</v>
      </c>
      <c r="I150" s="97">
        <v>30.5</v>
      </c>
      <c r="J150" s="97">
        <v>31.9</v>
      </c>
      <c r="K150" s="98">
        <v>213</v>
      </c>
      <c r="L150" s="98">
        <v>214</v>
      </c>
      <c r="M150" s="98">
        <v>226</v>
      </c>
      <c r="N150" s="98">
        <v>224</v>
      </c>
      <c r="O150" s="98">
        <v>240</v>
      </c>
      <c r="P150" s="98">
        <v>233</v>
      </c>
      <c r="Q150" s="98">
        <v>226</v>
      </c>
      <c r="R150" s="98">
        <v>217</v>
      </c>
      <c r="S150" s="98">
        <v>210</v>
      </c>
      <c r="T150" s="98">
        <v>212</v>
      </c>
      <c r="U150" s="98">
        <v>220</v>
      </c>
      <c r="V150" s="98">
        <v>249</v>
      </c>
      <c r="W150" s="98">
        <v>255</v>
      </c>
      <c r="X150" s="98">
        <v>258</v>
      </c>
      <c r="Y150" s="98">
        <v>257</v>
      </c>
      <c r="Z150" s="98">
        <v>230</v>
      </c>
      <c r="AA150" s="98">
        <v>203</v>
      </c>
      <c r="AB150" s="98">
        <v>189</v>
      </c>
      <c r="AC150" s="98">
        <v>156</v>
      </c>
      <c r="AD150" s="98">
        <v>138</v>
      </c>
      <c r="AE150" s="98">
        <v>134</v>
      </c>
      <c r="AF150" s="98">
        <v>130</v>
      </c>
      <c r="AG150" s="98">
        <v>135</v>
      </c>
    </row>
    <row r="151" spans="1:33" x14ac:dyDescent="0.3">
      <c r="A151" s="7">
        <v>146</v>
      </c>
      <c r="B151" s="7" t="s">
        <v>540</v>
      </c>
      <c r="C151" s="7" t="s">
        <v>237</v>
      </c>
      <c r="D151" s="8">
        <f>'CDC Source Data'!D134</f>
        <v>155678</v>
      </c>
      <c r="E151" s="8">
        <f>'CDC Source Data'!E134</f>
        <v>39</v>
      </c>
      <c r="F151" s="31">
        <f t="shared" si="2"/>
        <v>25.075691438973198</v>
      </c>
      <c r="G151" s="9">
        <f>'CDC Source Data'!F134</f>
        <v>0.88</v>
      </c>
      <c r="H151" s="7" t="str">
        <f>'CDC Source Data'!G134</f>
        <v>Completeness of provisional 2019 data under 90% after 6 months.</v>
      </c>
      <c r="I151" s="97">
        <v>31.3</v>
      </c>
      <c r="J151" s="97">
        <v>32.700000000000003</v>
      </c>
      <c r="K151" s="98">
        <v>79</v>
      </c>
      <c r="L151" s="98">
        <v>77</v>
      </c>
      <c r="M151" s="98">
        <v>74</v>
      </c>
      <c r="N151" s="98">
        <v>76</v>
      </c>
      <c r="O151" s="98">
        <v>76</v>
      </c>
      <c r="P151" s="98">
        <v>80</v>
      </c>
      <c r="Q151" s="98">
        <v>77</v>
      </c>
      <c r="R151" s="98">
        <v>75</v>
      </c>
      <c r="S151" s="98">
        <v>70</v>
      </c>
      <c r="T151" s="98">
        <v>76</v>
      </c>
      <c r="U151" s="98">
        <v>83</v>
      </c>
      <c r="V151" s="98">
        <v>83</v>
      </c>
      <c r="W151" s="98">
        <v>94</v>
      </c>
      <c r="X151" s="98">
        <v>95</v>
      </c>
      <c r="Y151" s="98">
        <v>86</v>
      </c>
      <c r="Z151" s="98">
        <v>83</v>
      </c>
      <c r="AA151" s="98">
        <v>79</v>
      </c>
      <c r="AB151" s="98">
        <v>69</v>
      </c>
      <c r="AC151" s="98">
        <v>77</v>
      </c>
      <c r="AD151" s="98">
        <v>73</v>
      </c>
      <c r="AE151" s="98">
        <v>65</v>
      </c>
      <c r="AF151" s="98">
        <v>53</v>
      </c>
      <c r="AG151" s="98">
        <v>39</v>
      </c>
    </row>
    <row r="152" spans="1:33" x14ac:dyDescent="0.3">
      <c r="A152" s="7">
        <v>147</v>
      </c>
      <c r="B152" s="7" t="s">
        <v>541</v>
      </c>
      <c r="C152" s="7" t="s">
        <v>447</v>
      </c>
      <c r="D152" s="8">
        <f>'CDC Source Data'!D74</f>
        <v>399542</v>
      </c>
      <c r="E152" s="8">
        <f>'CDC Source Data'!E74</f>
        <v>100</v>
      </c>
      <c r="F152" s="31">
        <f t="shared" si="2"/>
        <v>25.051709297395906</v>
      </c>
      <c r="G152" s="9">
        <f>'CDC Source Data'!F74</f>
        <v>0.03</v>
      </c>
      <c r="H152" s="7">
        <f>'CDC Source Data'!G74</f>
        <v>0</v>
      </c>
      <c r="I152" s="97">
        <v>42.3</v>
      </c>
      <c r="J152" s="97">
        <v>44.1</v>
      </c>
      <c r="K152" s="98">
        <v>192</v>
      </c>
      <c r="L152" s="98">
        <v>203</v>
      </c>
      <c r="M152" s="98">
        <v>211</v>
      </c>
      <c r="N152" s="98">
        <v>207</v>
      </c>
      <c r="O152" s="98">
        <v>207</v>
      </c>
      <c r="P152" s="98">
        <v>205</v>
      </c>
      <c r="Q152" s="98">
        <v>194</v>
      </c>
      <c r="R152" s="98">
        <v>195</v>
      </c>
      <c r="S152" s="98">
        <v>197</v>
      </c>
      <c r="T152" s="98">
        <v>190</v>
      </c>
      <c r="U152" s="98">
        <v>194</v>
      </c>
      <c r="V152" s="98">
        <v>209</v>
      </c>
      <c r="W152" s="98">
        <v>198</v>
      </c>
      <c r="X152" s="98">
        <v>176</v>
      </c>
      <c r="Y152" s="98">
        <v>169</v>
      </c>
      <c r="Z152" s="98">
        <v>150</v>
      </c>
      <c r="AA152" s="98">
        <v>138</v>
      </c>
      <c r="AB152" s="98">
        <v>137</v>
      </c>
      <c r="AC152" s="98">
        <v>115</v>
      </c>
      <c r="AD152" s="98">
        <v>96</v>
      </c>
      <c r="AE152" s="98">
        <v>104</v>
      </c>
      <c r="AF152" s="98">
        <v>103</v>
      </c>
      <c r="AG152" s="98">
        <v>100</v>
      </c>
    </row>
    <row r="153" spans="1:33" x14ac:dyDescent="0.3">
      <c r="A153" s="7">
        <v>148</v>
      </c>
      <c r="B153" s="7" t="s">
        <v>542</v>
      </c>
      <c r="C153" s="7" t="s">
        <v>32</v>
      </c>
      <c r="D153" s="8">
        <f>'CDC Source Data'!D101</f>
        <v>124105</v>
      </c>
      <c r="E153" s="8">
        <f>'CDC Source Data'!E101</f>
        <v>31</v>
      </c>
      <c r="F153" s="31">
        <f t="shared" si="2"/>
        <v>25.028657813196109</v>
      </c>
      <c r="G153" s="9">
        <f>'CDC Source Data'!F101</f>
        <v>7.0000000000000007E-2</v>
      </c>
      <c r="H153" s="7" t="str">
        <f>'CDC Source Data'!G101</f>
        <v>Completeness of provisional 2019 data under 90% after 6 months.</v>
      </c>
      <c r="I153" s="97">
        <v>20.3</v>
      </c>
      <c r="J153" s="97">
        <v>21.2</v>
      </c>
      <c r="K153" s="98">
        <v>31</v>
      </c>
      <c r="L153" s="98">
        <v>34</v>
      </c>
      <c r="M153" s="98">
        <v>43</v>
      </c>
      <c r="N153" s="98">
        <v>48</v>
      </c>
      <c r="O153" s="98">
        <v>54</v>
      </c>
      <c r="P153" s="98">
        <v>63</v>
      </c>
      <c r="Q153" s="98">
        <v>57</v>
      </c>
      <c r="R153" s="98">
        <v>60</v>
      </c>
      <c r="S153" s="98">
        <v>58</v>
      </c>
      <c r="T153" s="98">
        <v>51</v>
      </c>
      <c r="U153" s="98">
        <v>56</v>
      </c>
      <c r="V153" s="98">
        <v>63</v>
      </c>
      <c r="W153" s="98">
        <v>69</v>
      </c>
      <c r="X153" s="98">
        <v>78</v>
      </c>
      <c r="Y153" s="98">
        <v>80</v>
      </c>
      <c r="Z153" s="98">
        <v>72</v>
      </c>
      <c r="AA153" s="98">
        <v>62</v>
      </c>
      <c r="AB153" s="98">
        <v>53</v>
      </c>
      <c r="AC153" s="98">
        <v>45</v>
      </c>
      <c r="AD153" s="98">
        <v>39</v>
      </c>
      <c r="AE153" s="98">
        <v>38</v>
      </c>
      <c r="AF153" s="98">
        <v>31</v>
      </c>
      <c r="AG153" s="98">
        <v>31</v>
      </c>
    </row>
    <row r="154" spans="1:33" x14ac:dyDescent="0.3">
      <c r="A154" s="7">
        <v>149</v>
      </c>
      <c r="B154" s="7" t="s">
        <v>265</v>
      </c>
      <c r="C154" s="7" t="s">
        <v>543</v>
      </c>
      <c r="D154" s="8">
        <f>'CDC Source Data'!D285</f>
        <v>172450</v>
      </c>
      <c r="E154" s="8">
        <f>'CDC Source Data'!E285</f>
        <v>43</v>
      </c>
      <c r="F154" s="31">
        <f t="shared" si="2"/>
        <v>24.978848555658516</v>
      </c>
      <c r="G154" s="9">
        <f>'CDC Source Data'!F285</f>
        <v>0.16</v>
      </c>
      <c r="H154" s="7">
        <f>'CDC Source Data'!G285</f>
        <v>0</v>
      </c>
      <c r="I154" s="97">
        <v>32.1</v>
      </c>
      <c r="J154" s="97">
        <v>33.5</v>
      </c>
      <c r="K154" s="98">
        <v>48</v>
      </c>
      <c r="L154" s="98">
        <v>55</v>
      </c>
      <c r="M154" s="98">
        <v>66</v>
      </c>
      <c r="N154" s="98">
        <v>67</v>
      </c>
      <c r="O154" s="98">
        <v>66</v>
      </c>
      <c r="P154" s="98">
        <v>67</v>
      </c>
      <c r="Q154" s="98">
        <v>66</v>
      </c>
      <c r="R154" s="98">
        <v>75</v>
      </c>
      <c r="S154" s="98">
        <v>71</v>
      </c>
      <c r="T154" s="98">
        <v>81</v>
      </c>
      <c r="U154" s="98">
        <v>66</v>
      </c>
      <c r="V154" s="98">
        <v>67</v>
      </c>
      <c r="W154" s="98">
        <v>70</v>
      </c>
      <c r="X154" s="98">
        <v>54</v>
      </c>
      <c r="Y154" s="98">
        <v>61</v>
      </c>
      <c r="Z154" s="98">
        <v>57</v>
      </c>
      <c r="AA154" s="98">
        <v>59</v>
      </c>
      <c r="AB154" s="98">
        <v>63</v>
      </c>
      <c r="AC154" s="98">
        <v>66</v>
      </c>
      <c r="AD154" s="98">
        <v>56</v>
      </c>
      <c r="AE154" s="98">
        <v>50</v>
      </c>
      <c r="AF154" s="98">
        <v>44</v>
      </c>
      <c r="AG154" s="98">
        <v>43</v>
      </c>
    </row>
    <row r="155" spans="1:33" x14ac:dyDescent="0.3">
      <c r="A155" s="7">
        <v>150</v>
      </c>
      <c r="B155" s="7" t="s">
        <v>544</v>
      </c>
      <c r="C155" s="7" t="s">
        <v>458</v>
      </c>
      <c r="D155" s="8">
        <f>'CDC Source Data'!D21</f>
        <v>217183</v>
      </c>
      <c r="E155" s="8">
        <f>'CDC Source Data'!E21</f>
        <v>54</v>
      </c>
      <c r="F155" s="31">
        <f t="shared" si="2"/>
        <v>24.93476369962308</v>
      </c>
      <c r="G155" s="9">
        <f>'CDC Source Data'!F21</f>
        <v>0.08</v>
      </c>
      <c r="H155" s="7" t="str">
        <f>'CDC Source Data'!G21</f>
        <v>Completeness of provisional 2019 data under 90% after 6 months.</v>
      </c>
      <c r="I155" s="97">
        <v>24.4</v>
      </c>
      <c r="J155" s="97">
        <v>25.5</v>
      </c>
      <c r="K155" s="98">
        <v>42</v>
      </c>
      <c r="L155" s="98">
        <v>57</v>
      </c>
      <c r="M155" s="98">
        <v>73</v>
      </c>
      <c r="N155" s="98">
        <v>73</v>
      </c>
      <c r="O155" s="98">
        <v>73</v>
      </c>
      <c r="P155" s="98">
        <v>72</v>
      </c>
      <c r="Q155" s="98">
        <v>64</v>
      </c>
      <c r="R155" s="98">
        <v>73</v>
      </c>
      <c r="S155" s="98">
        <v>71</v>
      </c>
      <c r="T155" s="98">
        <v>70</v>
      </c>
      <c r="U155" s="98">
        <v>77</v>
      </c>
      <c r="V155" s="98">
        <v>73</v>
      </c>
      <c r="W155" s="98">
        <v>80</v>
      </c>
      <c r="X155" s="98">
        <v>80</v>
      </c>
      <c r="Y155" s="98">
        <v>73</v>
      </c>
      <c r="Z155" s="98">
        <v>68</v>
      </c>
      <c r="AA155" s="98">
        <v>61</v>
      </c>
      <c r="AB155" s="98">
        <v>55</v>
      </c>
      <c r="AC155" s="98">
        <v>52</v>
      </c>
      <c r="AD155" s="98">
        <v>54</v>
      </c>
      <c r="AE155" s="98">
        <v>54</v>
      </c>
      <c r="AF155" s="98">
        <v>57</v>
      </c>
      <c r="AG155" s="98">
        <v>54</v>
      </c>
    </row>
    <row r="156" spans="1:33" x14ac:dyDescent="0.3">
      <c r="A156" s="7">
        <v>151</v>
      </c>
      <c r="B156" s="7" t="s">
        <v>545</v>
      </c>
      <c r="C156" s="7" t="s">
        <v>50</v>
      </c>
      <c r="D156" s="8">
        <f>'CDC Source Data'!D240</f>
        <v>218150</v>
      </c>
      <c r="E156" s="8">
        <f>'CDC Source Data'!E240</f>
        <v>54</v>
      </c>
      <c r="F156" s="31">
        <f t="shared" si="2"/>
        <v>24.863824516651857</v>
      </c>
      <c r="G156" s="9">
        <f>'CDC Source Data'!F240</f>
        <v>0</v>
      </c>
      <c r="H156" s="7">
        <f>'CDC Source Data'!G240</f>
        <v>0</v>
      </c>
      <c r="I156" s="97">
        <v>31.1</v>
      </c>
      <c r="J156" s="97">
        <v>32.5</v>
      </c>
      <c r="K156" s="98">
        <v>59</v>
      </c>
      <c r="L156" s="98">
        <v>73</v>
      </c>
      <c r="M156" s="98">
        <v>74</v>
      </c>
      <c r="N156" s="98">
        <v>69</v>
      </c>
      <c r="O156" s="98">
        <v>74</v>
      </c>
      <c r="P156" s="98">
        <v>80</v>
      </c>
      <c r="Q156" s="98">
        <v>85</v>
      </c>
      <c r="R156" s="98">
        <v>110</v>
      </c>
      <c r="S156" s="98">
        <v>114</v>
      </c>
      <c r="T156" s="98">
        <v>110</v>
      </c>
      <c r="U156" s="98">
        <v>116</v>
      </c>
      <c r="V156" s="98">
        <v>99</v>
      </c>
      <c r="W156" s="98">
        <v>102</v>
      </c>
      <c r="X156" s="98">
        <v>88</v>
      </c>
      <c r="Y156" s="98">
        <v>86</v>
      </c>
      <c r="Z156" s="98">
        <v>83</v>
      </c>
      <c r="AA156" s="98">
        <v>81</v>
      </c>
      <c r="AB156" s="98">
        <v>91</v>
      </c>
      <c r="AC156" s="98">
        <v>75</v>
      </c>
      <c r="AD156" s="98">
        <v>72</v>
      </c>
      <c r="AE156" s="98">
        <v>59</v>
      </c>
      <c r="AF156" s="98">
        <v>49</v>
      </c>
      <c r="AG156" s="98">
        <v>54</v>
      </c>
    </row>
    <row r="157" spans="1:33" x14ac:dyDescent="0.3">
      <c r="A157" s="7">
        <v>152</v>
      </c>
      <c r="B157" s="7" t="s">
        <v>546</v>
      </c>
      <c r="C157" s="7" t="s">
        <v>27</v>
      </c>
      <c r="D157" s="8">
        <f>'CDC Source Data'!D352</f>
        <v>113411</v>
      </c>
      <c r="E157" s="8">
        <f>'CDC Source Data'!E352</f>
        <v>28</v>
      </c>
      <c r="F157" s="31">
        <f t="shared" si="2"/>
        <v>24.753609901443962</v>
      </c>
      <c r="G157" s="9">
        <f>'CDC Source Data'!F352</f>
        <v>0.09</v>
      </c>
      <c r="H157" s="7">
        <f>'CDC Source Data'!G352</f>
        <v>0</v>
      </c>
      <c r="I157" s="97">
        <v>24.7</v>
      </c>
      <c r="J157" s="97">
        <v>25.8</v>
      </c>
      <c r="K157" s="98">
        <v>26</v>
      </c>
      <c r="L157" s="98">
        <v>28</v>
      </c>
      <c r="M157" s="98">
        <v>36</v>
      </c>
      <c r="N157" s="98">
        <v>31</v>
      </c>
      <c r="O157" s="98">
        <v>32</v>
      </c>
      <c r="P157" s="98">
        <v>36</v>
      </c>
      <c r="Q157" s="98">
        <v>37</v>
      </c>
      <c r="R157" s="98">
        <v>52</v>
      </c>
      <c r="S157" s="98">
        <v>63</v>
      </c>
      <c r="T157" s="98">
        <v>58</v>
      </c>
      <c r="U157" s="98">
        <v>49</v>
      </c>
      <c r="V157" s="98">
        <v>39</v>
      </c>
      <c r="W157" s="98">
        <v>36</v>
      </c>
      <c r="X157" s="98">
        <v>34</v>
      </c>
      <c r="Y157" s="98">
        <v>38</v>
      </c>
      <c r="Z157" s="98">
        <v>38</v>
      </c>
      <c r="AA157" s="98">
        <v>34</v>
      </c>
      <c r="AB157" s="98">
        <v>28</v>
      </c>
      <c r="AC157" s="98">
        <v>29</v>
      </c>
      <c r="AD157" s="98">
        <v>33</v>
      </c>
      <c r="AE157" s="98">
        <v>28</v>
      </c>
      <c r="AF157" s="98">
        <v>33</v>
      </c>
      <c r="AG157" s="98">
        <v>28</v>
      </c>
    </row>
    <row r="158" spans="1:33" x14ac:dyDescent="0.3">
      <c r="A158" s="7">
        <v>153</v>
      </c>
      <c r="B158" s="7" t="s">
        <v>547</v>
      </c>
      <c r="C158" s="7" t="s">
        <v>24</v>
      </c>
      <c r="D158" s="8">
        <f>'CDC Source Data'!D79</f>
        <v>206861</v>
      </c>
      <c r="E158" s="8">
        <f>'CDC Source Data'!E79</f>
        <v>51</v>
      </c>
      <c r="F158" s="31">
        <f t="shared" si="2"/>
        <v>24.688963151722493</v>
      </c>
      <c r="G158" s="9">
        <f>'CDC Source Data'!F79</f>
        <v>0</v>
      </c>
      <c r="H158" s="7">
        <f>'CDC Source Data'!G79</f>
        <v>0</v>
      </c>
      <c r="I158" s="97">
        <v>24.6</v>
      </c>
      <c r="J158" s="97">
        <v>25.7</v>
      </c>
      <c r="K158" s="98">
        <v>35</v>
      </c>
      <c r="L158" s="98">
        <v>43</v>
      </c>
      <c r="M158" s="98">
        <v>61</v>
      </c>
      <c r="N158" s="98">
        <v>63</v>
      </c>
      <c r="O158" s="98">
        <v>83</v>
      </c>
      <c r="P158" s="98">
        <v>93</v>
      </c>
      <c r="Q158" s="98">
        <v>93</v>
      </c>
      <c r="R158" s="98">
        <v>89</v>
      </c>
      <c r="S158" s="98">
        <v>78</v>
      </c>
      <c r="T158" s="98">
        <v>77</v>
      </c>
      <c r="U158" s="98">
        <v>65</v>
      </c>
      <c r="V158" s="98">
        <v>59</v>
      </c>
      <c r="W158" s="98">
        <v>62</v>
      </c>
      <c r="X158" s="98">
        <v>59</v>
      </c>
      <c r="Y158" s="98">
        <v>65</v>
      </c>
      <c r="Z158" s="98">
        <v>72</v>
      </c>
      <c r="AA158" s="98">
        <v>65</v>
      </c>
      <c r="AB158" s="98">
        <v>61</v>
      </c>
      <c r="AC158" s="98">
        <v>63</v>
      </c>
      <c r="AD158" s="98">
        <v>59</v>
      </c>
      <c r="AE158" s="98">
        <v>58</v>
      </c>
      <c r="AF158" s="98">
        <v>57</v>
      </c>
      <c r="AG158" s="98">
        <v>51</v>
      </c>
    </row>
    <row r="159" spans="1:33" x14ac:dyDescent="0.3">
      <c r="A159" s="7">
        <v>154</v>
      </c>
      <c r="B159" s="7" t="s">
        <v>548</v>
      </c>
      <c r="C159" s="7" t="s">
        <v>24</v>
      </c>
      <c r="D159" s="8">
        <f>'CDC Source Data'!D536</f>
        <v>277615</v>
      </c>
      <c r="E159" s="8">
        <f>'CDC Source Data'!E536</f>
        <v>68</v>
      </c>
      <c r="F159" s="31">
        <f t="shared" si="2"/>
        <v>24.654236419624773</v>
      </c>
      <c r="G159" s="9">
        <f>'CDC Source Data'!F536</f>
        <v>0</v>
      </c>
      <c r="H159" s="7">
        <f>'CDC Source Data'!G536</f>
        <v>0</v>
      </c>
      <c r="I159" s="97">
        <v>37.6</v>
      </c>
      <c r="J159" s="97">
        <v>39.200000000000003</v>
      </c>
      <c r="K159" s="98">
        <v>106</v>
      </c>
      <c r="L159" s="98">
        <v>113</v>
      </c>
      <c r="M159" s="98">
        <v>134</v>
      </c>
      <c r="N159" s="98">
        <v>133</v>
      </c>
      <c r="O159" s="98">
        <v>155</v>
      </c>
      <c r="P159" s="98">
        <v>161</v>
      </c>
      <c r="Q159" s="98">
        <v>158</v>
      </c>
      <c r="R159" s="98">
        <v>156</v>
      </c>
      <c r="S159" s="98">
        <v>147</v>
      </c>
      <c r="T159" s="98">
        <v>141</v>
      </c>
      <c r="U159" s="98">
        <v>129</v>
      </c>
      <c r="V159" s="98">
        <v>120</v>
      </c>
      <c r="W159" s="98">
        <v>117</v>
      </c>
      <c r="X159" s="98">
        <v>111</v>
      </c>
      <c r="Y159" s="98">
        <v>111</v>
      </c>
      <c r="Z159" s="98">
        <v>111</v>
      </c>
      <c r="AA159" s="98">
        <v>102</v>
      </c>
      <c r="AB159" s="98">
        <v>95</v>
      </c>
      <c r="AC159" s="98">
        <v>95</v>
      </c>
      <c r="AD159" s="98">
        <v>91</v>
      </c>
      <c r="AE159" s="98">
        <v>84</v>
      </c>
      <c r="AF159" s="98">
        <v>77</v>
      </c>
      <c r="AG159" s="98">
        <v>68</v>
      </c>
    </row>
    <row r="160" spans="1:33" x14ac:dyDescent="0.3">
      <c r="A160" s="7">
        <v>155</v>
      </c>
      <c r="B160" s="7" t="s">
        <v>549</v>
      </c>
      <c r="C160" s="7" t="s">
        <v>467</v>
      </c>
      <c r="D160" s="8">
        <f>'CDC Source Data'!D119</f>
        <v>102194</v>
      </c>
      <c r="E160" s="8">
        <f>'CDC Source Data'!E119</f>
        <v>25</v>
      </c>
      <c r="F160" s="31">
        <f t="shared" si="2"/>
        <v>24.494353691263079</v>
      </c>
      <c r="G160" s="9">
        <f>'CDC Source Data'!F119</f>
        <v>0.56999999999999995</v>
      </c>
      <c r="H160" s="7" t="str">
        <f>'CDC Source Data'!G119</f>
        <v>Completeness of provisional 2019 data under 90% after 6 months.</v>
      </c>
      <c r="I160" s="97">
        <v>22.1</v>
      </c>
      <c r="J160" s="97">
        <v>23.1</v>
      </c>
      <c r="K160" s="98">
        <v>18</v>
      </c>
      <c r="L160" s="98">
        <v>20</v>
      </c>
      <c r="M160" s="98">
        <v>22</v>
      </c>
      <c r="N160" s="98">
        <v>22</v>
      </c>
      <c r="O160" s="98">
        <v>23</v>
      </c>
      <c r="P160" s="98">
        <v>23</v>
      </c>
      <c r="Q160" s="98">
        <v>28</v>
      </c>
      <c r="R160" s="98">
        <v>23</v>
      </c>
      <c r="S160" s="98">
        <v>22</v>
      </c>
      <c r="T160" s="98">
        <v>22</v>
      </c>
      <c r="U160" s="98">
        <v>24</v>
      </c>
      <c r="V160" s="98">
        <v>37</v>
      </c>
      <c r="W160" s="98">
        <v>42</v>
      </c>
      <c r="X160" s="98">
        <v>52</v>
      </c>
      <c r="Y160" s="98">
        <v>51</v>
      </c>
      <c r="Z160" s="98">
        <v>45</v>
      </c>
      <c r="AA160" s="98">
        <v>41</v>
      </c>
      <c r="AB160" s="98">
        <v>34</v>
      </c>
      <c r="AC160" s="98">
        <v>28</v>
      </c>
      <c r="AD160" s="98">
        <v>24</v>
      </c>
      <c r="AE160" s="98">
        <v>26</v>
      </c>
      <c r="AF160" s="98">
        <v>25</v>
      </c>
      <c r="AG160" s="98">
        <v>25</v>
      </c>
    </row>
    <row r="161" spans="1:33" x14ac:dyDescent="0.3">
      <c r="A161" s="7">
        <v>156</v>
      </c>
      <c r="B161" s="7" t="s">
        <v>550</v>
      </c>
      <c r="C161" s="7" t="s">
        <v>15</v>
      </c>
      <c r="D161" s="8">
        <f>'CDC Source Data'!D538</f>
        <v>556972</v>
      </c>
      <c r="E161" s="8">
        <f>'CDC Source Data'!E538</f>
        <v>135</v>
      </c>
      <c r="F161" s="31">
        <f t="shared" si="2"/>
        <v>24.463275730473413</v>
      </c>
      <c r="G161" s="9">
        <f>'CDC Source Data'!F538</f>
        <v>0.13</v>
      </c>
      <c r="H161" s="7">
        <f>'CDC Source Data'!G538</f>
        <v>0</v>
      </c>
      <c r="I161" s="97">
        <v>21.1</v>
      </c>
      <c r="J161" s="97">
        <v>22</v>
      </c>
      <c r="K161" s="98">
        <v>95</v>
      </c>
      <c r="L161" s="98">
        <v>96</v>
      </c>
      <c r="M161" s="98">
        <v>111</v>
      </c>
      <c r="N161" s="98">
        <v>130</v>
      </c>
      <c r="O161" s="98">
        <v>141</v>
      </c>
      <c r="P161" s="98">
        <v>167</v>
      </c>
      <c r="Q161" s="98">
        <v>170</v>
      </c>
      <c r="R161" s="98">
        <v>164</v>
      </c>
      <c r="S161" s="98">
        <v>176</v>
      </c>
      <c r="T161" s="98">
        <v>166</v>
      </c>
      <c r="U161" s="98">
        <v>174</v>
      </c>
      <c r="V161" s="98">
        <v>181</v>
      </c>
      <c r="W161" s="98">
        <v>165</v>
      </c>
      <c r="X161" s="98">
        <v>179</v>
      </c>
      <c r="Y161" s="98">
        <v>180</v>
      </c>
      <c r="Z161" s="98">
        <v>189</v>
      </c>
      <c r="AA161" s="98">
        <v>206</v>
      </c>
      <c r="AB161" s="98">
        <v>195</v>
      </c>
      <c r="AC161" s="98">
        <v>179</v>
      </c>
      <c r="AD161" s="98">
        <v>162</v>
      </c>
      <c r="AE161" s="98">
        <v>153</v>
      </c>
      <c r="AF161" s="98">
        <v>146</v>
      </c>
      <c r="AG161" s="98">
        <v>135</v>
      </c>
    </row>
    <row r="162" spans="1:33" x14ac:dyDescent="0.3">
      <c r="A162" s="7">
        <v>157</v>
      </c>
      <c r="B162" s="7" t="s">
        <v>532</v>
      </c>
      <c r="C162" s="7" t="s">
        <v>458</v>
      </c>
      <c r="D162" s="8">
        <f>'CDC Source Data'!D43</f>
        <v>264276</v>
      </c>
      <c r="E162" s="8">
        <f>'CDC Source Data'!E43</f>
        <v>64</v>
      </c>
      <c r="F162" s="31">
        <f t="shared" si="2"/>
        <v>24.238202279468268</v>
      </c>
      <c r="G162" s="9">
        <f>'CDC Source Data'!F43</f>
        <v>0.15</v>
      </c>
      <c r="H162" s="7">
        <f>'CDC Source Data'!G43</f>
        <v>0</v>
      </c>
      <c r="I162" s="97">
        <v>19.5</v>
      </c>
      <c r="J162" s="97">
        <v>20.3</v>
      </c>
      <c r="K162" s="98">
        <v>42</v>
      </c>
      <c r="L162" s="98">
        <v>54</v>
      </c>
      <c r="M162" s="98">
        <v>52</v>
      </c>
      <c r="N162" s="98">
        <v>59</v>
      </c>
      <c r="O162" s="98">
        <v>71</v>
      </c>
      <c r="P162" s="98">
        <v>71</v>
      </c>
      <c r="Q162" s="98">
        <v>81</v>
      </c>
      <c r="R162" s="98">
        <v>86</v>
      </c>
      <c r="S162" s="98">
        <v>82</v>
      </c>
      <c r="T162" s="98">
        <v>85</v>
      </c>
      <c r="U162" s="98">
        <v>92</v>
      </c>
      <c r="V162" s="98">
        <v>96</v>
      </c>
      <c r="W162" s="98">
        <v>94</v>
      </c>
      <c r="X162" s="98">
        <v>93</v>
      </c>
      <c r="Y162" s="98">
        <v>83</v>
      </c>
      <c r="Z162" s="98">
        <v>79</v>
      </c>
      <c r="AA162" s="98">
        <v>82</v>
      </c>
      <c r="AB162" s="98">
        <v>73</v>
      </c>
      <c r="AC162" s="98">
        <v>67</v>
      </c>
      <c r="AD162" s="98">
        <v>58</v>
      </c>
      <c r="AE162" s="98">
        <v>58</v>
      </c>
      <c r="AF162" s="98">
        <v>61</v>
      </c>
      <c r="AG162" s="98">
        <v>64</v>
      </c>
    </row>
    <row r="163" spans="1:33" x14ac:dyDescent="0.3">
      <c r="A163" s="7">
        <v>158</v>
      </c>
      <c r="B163" s="7" t="s">
        <v>551</v>
      </c>
      <c r="C163" s="7" t="s">
        <v>467</v>
      </c>
      <c r="D163" s="8">
        <f>'CDC Source Data'!D477</f>
        <v>153384</v>
      </c>
      <c r="E163" s="8">
        <f>'CDC Source Data'!E477</f>
        <v>37</v>
      </c>
      <c r="F163" s="31">
        <f t="shared" si="2"/>
        <v>24.217106358503987</v>
      </c>
      <c r="G163" s="9">
        <f>'CDC Source Data'!F477</f>
        <v>1.64</v>
      </c>
      <c r="H163" s="7" t="str">
        <f>'CDC Source Data'!G477</f>
        <v>Completeness of provisional 2019 data under 90% after 6 months.</v>
      </c>
      <c r="I163" s="97">
        <v>34.799999999999997</v>
      </c>
      <c r="J163" s="97">
        <v>36.4</v>
      </c>
      <c r="K163" s="98">
        <v>47</v>
      </c>
      <c r="L163" s="98">
        <v>61</v>
      </c>
      <c r="M163" s="98">
        <v>59</v>
      </c>
      <c r="N163" s="98">
        <v>70</v>
      </c>
      <c r="O163" s="98">
        <v>76</v>
      </c>
      <c r="P163" s="98">
        <v>86</v>
      </c>
      <c r="Q163" s="98">
        <v>85</v>
      </c>
      <c r="R163" s="98">
        <v>86</v>
      </c>
      <c r="S163" s="98">
        <v>108</v>
      </c>
      <c r="T163" s="98">
        <v>99</v>
      </c>
      <c r="U163" s="98">
        <v>101</v>
      </c>
      <c r="V163" s="98">
        <v>106</v>
      </c>
      <c r="W163" s="98">
        <v>100</v>
      </c>
      <c r="X163" s="98">
        <v>109</v>
      </c>
      <c r="Y163" s="98">
        <v>97</v>
      </c>
      <c r="Z163" s="98">
        <v>81</v>
      </c>
      <c r="AA163" s="98">
        <v>62</v>
      </c>
      <c r="AB163" s="98">
        <v>47</v>
      </c>
      <c r="AC163" s="98">
        <v>55</v>
      </c>
      <c r="AD163" s="98">
        <v>53</v>
      </c>
      <c r="AE163" s="98">
        <v>52</v>
      </c>
      <c r="AF163" s="98">
        <v>44</v>
      </c>
      <c r="AG163" s="98">
        <v>37</v>
      </c>
    </row>
    <row r="164" spans="1:33" x14ac:dyDescent="0.3">
      <c r="A164" s="7">
        <v>159</v>
      </c>
      <c r="B164" s="7" t="s">
        <v>552</v>
      </c>
      <c r="C164" s="7" t="s">
        <v>19</v>
      </c>
      <c r="D164" s="8">
        <f>'CDC Source Data'!D298</f>
        <v>216859</v>
      </c>
      <c r="E164" s="8">
        <f>'CDC Source Data'!E298</f>
        <v>52</v>
      </c>
      <c r="F164" s="31">
        <f t="shared" si="2"/>
        <v>24.122463881500025</v>
      </c>
      <c r="G164" s="9">
        <f>'CDC Source Data'!F298</f>
        <v>0.31</v>
      </c>
      <c r="H164" s="7" t="str">
        <f>'CDC Source Data'!G298</f>
        <v>Completeness of provisional 2019 data under 90% after 6 months.</v>
      </c>
      <c r="I164" s="97">
        <v>33.200000000000003</v>
      </c>
      <c r="J164" s="97">
        <v>34.6</v>
      </c>
      <c r="K164" s="98">
        <v>65</v>
      </c>
      <c r="L164" s="98">
        <v>72</v>
      </c>
      <c r="M164" s="98">
        <v>82</v>
      </c>
      <c r="N164" s="98">
        <v>92</v>
      </c>
      <c r="O164" s="98">
        <v>107</v>
      </c>
      <c r="P164" s="98">
        <v>108</v>
      </c>
      <c r="Q164" s="98">
        <v>106</v>
      </c>
      <c r="R164" s="98">
        <v>99</v>
      </c>
      <c r="S164" s="98">
        <v>95</v>
      </c>
      <c r="T164" s="98">
        <v>92</v>
      </c>
      <c r="U164" s="98">
        <v>89</v>
      </c>
      <c r="V164" s="98">
        <v>94</v>
      </c>
      <c r="W164" s="98">
        <v>87</v>
      </c>
      <c r="X164" s="98">
        <v>81</v>
      </c>
      <c r="Y164" s="98">
        <v>81</v>
      </c>
      <c r="Z164" s="98">
        <v>74</v>
      </c>
      <c r="AA164" s="98">
        <v>74</v>
      </c>
      <c r="AB164" s="98">
        <v>73</v>
      </c>
      <c r="AC164" s="98">
        <v>59</v>
      </c>
      <c r="AD164" s="98">
        <v>55</v>
      </c>
      <c r="AE164" s="98">
        <v>48</v>
      </c>
      <c r="AF164" s="98">
        <v>48</v>
      </c>
      <c r="AG164" s="98">
        <v>52</v>
      </c>
    </row>
    <row r="165" spans="1:33" x14ac:dyDescent="0.3">
      <c r="A165" s="7">
        <v>160</v>
      </c>
      <c r="B165" s="7" t="s">
        <v>553</v>
      </c>
      <c r="C165" s="7" t="s">
        <v>50</v>
      </c>
      <c r="D165" s="8">
        <f>'CDC Source Data'!D394</f>
        <v>104376</v>
      </c>
      <c r="E165" s="8">
        <f>'CDC Source Data'!E394</f>
        <v>25</v>
      </c>
      <c r="F165" s="31">
        <f t="shared" si="2"/>
        <v>23.978714279785482</v>
      </c>
      <c r="G165" s="9">
        <f>'CDC Source Data'!F394</f>
        <v>0.08</v>
      </c>
      <c r="H165" s="7">
        <f>'CDC Source Data'!G394</f>
        <v>0</v>
      </c>
      <c r="I165" s="97">
        <v>27.8</v>
      </c>
      <c r="J165" s="97">
        <v>29</v>
      </c>
      <c r="K165" s="98">
        <v>26</v>
      </c>
      <c r="L165" s="98">
        <v>31</v>
      </c>
      <c r="M165" s="98">
        <v>39</v>
      </c>
      <c r="N165" s="98">
        <v>41</v>
      </c>
      <c r="O165" s="98">
        <v>34</v>
      </c>
      <c r="P165" s="98">
        <v>34</v>
      </c>
      <c r="Q165" s="98">
        <v>31</v>
      </c>
      <c r="R165" s="98">
        <v>28</v>
      </c>
      <c r="S165" s="98">
        <v>33</v>
      </c>
      <c r="T165" s="98">
        <v>30</v>
      </c>
      <c r="U165" s="98">
        <v>37</v>
      </c>
      <c r="V165" s="98">
        <v>38</v>
      </c>
      <c r="W165" s="98">
        <v>36</v>
      </c>
      <c r="X165" s="98">
        <v>40</v>
      </c>
      <c r="Y165" s="98">
        <v>36</v>
      </c>
      <c r="Z165" s="98">
        <v>38</v>
      </c>
      <c r="AA165" s="98">
        <v>39</v>
      </c>
      <c r="AB165" s="98">
        <v>37</v>
      </c>
      <c r="AC165" s="98">
        <v>29</v>
      </c>
      <c r="AD165" s="98">
        <v>30</v>
      </c>
      <c r="AE165" s="98">
        <v>28</v>
      </c>
      <c r="AF165" s="98">
        <v>23</v>
      </c>
      <c r="AG165" s="98">
        <v>25</v>
      </c>
    </row>
    <row r="166" spans="1:33" x14ac:dyDescent="0.3">
      <c r="A166" s="7">
        <v>161</v>
      </c>
      <c r="B166" s="7" t="s">
        <v>554</v>
      </c>
      <c r="C166" s="7" t="s">
        <v>21</v>
      </c>
      <c r="D166" s="8">
        <f>'CDC Source Data'!D108</f>
        <v>425857</v>
      </c>
      <c r="E166" s="8">
        <f>'CDC Source Data'!E108</f>
        <v>102</v>
      </c>
      <c r="F166" s="31">
        <f t="shared" si="2"/>
        <v>23.951866329424391</v>
      </c>
      <c r="G166" s="9">
        <f>'CDC Source Data'!F108</f>
        <v>0.33</v>
      </c>
      <c r="H166" s="7">
        <f>'CDC Source Data'!G108</f>
        <v>0</v>
      </c>
      <c r="I166" s="97">
        <v>13.5</v>
      </c>
      <c r="J166" s="97">
        <v>14.1</v>
      </c>
      <c r="K166" s="98">
        <v>39</v>
      </c>
      <c r="L166" s="98">
        <v>45</v>
      </c>
      <c r="M166" s="98">
        <v>51</v>
      </c>
      <c r="N166" s="98">
        <v>61</v>
      </c>
      <c r="O166" s="98">
        <v>71</v>
      </c>
      <c r="P166" s="98">
        <v>70</v>
      </c>
      <c r="Q166" s="98">
        <v>75</v>
      </c>
      <c r="R166" s="98">
        <v>75</v>
      </c>
      <c r="S166" s="98">
        <v>79</v>
      </c>
      <c r="T166" s="98">
        <v>83</v>
      </c>
      <c r="U166" s="98">
        <v>81</v>
      </c>
      <c r="V166" s="98">
        <v>88</v>
      </c>
      <c r="W166" s="98">
        <v>83</v>
      </c>
      <c r="X166" s="98">
        <v>97</v>
      </c>
      <c r="Y166" s="98">
        <v>111</v>
      </c>
      <c r="Z166" s="98">
        <v>118</v>
      </c>
      <c r="AA166" s="98">
        <v>131</v>
      </c>
      <c r="AB166" s="98">
        <v>119</v>
      </c>
      <c r="AC166" s="98">
        <v>105</v>
      </c>
      <c r="AD166" s="98">
        <v>108</v>
      </c>
      <c r="AE166" s="98">
        <v>104</v>
      </c>
      <c r="AF166" s="98">
        <v>116</v>
      </c>
      <c r="AG166" s="98">
        <v>102</v>
      </c>
    </row>
    <row r="167" spans="1:33" x14ac:dyDescent="0.3">
      <c r="A167" s="7">
        <v>162</v>
      </c>
      <c r="B167" s="7" t="s">
        <v>555</v>
      </c>
      <c r="C167" s="7" t="s">
        <v>11</v>
      </c>
      <c r="D167" s="8">
        <f>'CDC Source Data'!D30</f>
        <v>852425</v>
      </c>
      <c r="E167" s="8">
        <f>'CDC Source Data'!E30</f>
        <v>204</v>
      </c>
      <c r="F167" s="31">
        <f t="shared" si="2"/>
        <v>23.951702097182856</v>
      </c>
      <c r="G167" s="9">
        <f>'CDC Source Data'!F30</f>
        <v>0.04</v>
      </c>
      <c r="H167" s="7">
        <f>'CDC Source Data'!G30</f>
        <v>0</v>
      </c>
      <c r="I167" s="97">
        <v>36.799999999999997</v>
      </c>
      <c r="J167" s="97">
        <v>38.4</v>
      </c>
      <c r="K167" s="98">
        <v>393</v>
      </c>
      <c r="L167" s="98">
        <v>379</v>
      </c>
      <c r="M167" s="98">
        <v>405</v>
      </c>
      <c r="N167" s="98">
        <v>438</v>
      </c>
      <c r="O167" s="98">
        <v>451</v>
      </c>
      <c r="P167" s="98">
        <v>468</v>
      </c>
      <c r="Q167" s="98">
        <v>454</v>
      </c>
      <c r="R167" s="98">
        <v>458</v>
      </c>
      <c r="S167" s="98">
        <v>439</v>
      </c>
      <c r="T167" s="98">
        <v>394</v>
      </c>
      <c r="U167" s="98">
        <v>389</v>
      </c>
      <c r="V167" s="98">
        <v>388</v>
      </c>
      <c r="W167" s="98">
        <v>386</v>
      </c>
      <c r="X167" s="98">
        <v>376</v>
      </c>
      <c r="Y167" s="98">
        <v>373</v>
      </c>
      <c r="Z167" s="98">
        <v>344</v>
      </c>
      <c r="AA167" s="98">
        <v>336</v>
      </c>
      <c r="AB167" s="98">
        <v>324</v>
      </c>
      <c r="AC167" s="98">
        <v>283</v>
      </c>
      <c r="AD167" s="98">
        <v>246</v>
      </c>
      <c r="AE167" s="98">
        <v>211</v>
      </c>
      <c r="AF167" s="98">
        <v>209</v>
      </c>
      <c r="AG167" s="98">
        <v>204</v>
      </c>
    </row>
    <row r="168" spans="1:33" x14ac:dyDescent="0.3">
      <c r="A168" s="7">
        <v>163</v>
      </c>
      <c r="B168" s="7" t="s">
        <v>556</v>
      </c>
      <c r="C168" s="7" t="s">
        <v>15</v>
      </c>
      <c r="D168" s="8">
        <f>'CDC Source Data'!D486</f>
        <v>816108</v>
      </c>
      <c r="E168" s="8">
        <f>'CDC Source Data'!E486</f>
        <v>195</v>
      </c>
      <c r="F168" s="31">
        <f t="shared" si="2"/>
        <v>23.931724198609849</v>
      </c>
      <c r="G168" s="9">
        <f>'CDC Source Data'!F486</f>
        <v>0.11</v>
      </c>
      <c r="H168" s="7" t="str">
        <f>'CDC Source Data'!G486</f>
        <v>Completeness of provisional 2019 data under 90% after 6 months.</v>
      </c>
      <c r="I168" s="97">
        <v>20.5</v>
      </c>
      <c r="J168" s="97">
        <v>21.4</v>
      </c>
      <c r="K168" s="98">
        <v>121</v>
      </c>
      <c r="L168" s="98">
        <v>126</v>
      </c>
      <c r="M168" s="98">
        <v>155</v>
      </c>
      <c r="N168" s="98">
        <v>161</v>
      </c>
      <c r="O168" s="98">
        <v>177</v>
      </c>
      <c r="P168" s="98">
        <v>189</v>
      </c>
      <c r="Q168" s="98">
        <v>189</v>
      </c>
      <c r="R168" s="98">
        <v>210</v>
      </c>
      <c r="S168" s="98">
        <v>210</v>
      </c>
      <c r="T168" s="98">
        <v>199</v>
      </c>
      <c r="U168" s="98">
        <v>190</v>
      </c>
      <c r="V168" s="98">
        <v>176</v>
      </c>
      <c r="W168" s="98">
        <v>186</v>
      </c>
      <c r="X168" s="98">
        <v>200</v>
      </c>
      <c r="Y168" s="98">
        <v>222</v>
      </c>
      <c r="Z168" s="98">
        <v>254</v>
      </c>
      <c r="AA168" s="98">
        <v>244</v>
      </c>
      <c r="AB168" s="98">
        <v>253</v>
      </c>
      <c r="AC168" s="98">
        <v>233</v>
      </c>
      <c r="AD168" s="98">
        <v>201</v>
      </c>
      <c r="AE168" s="98">
        <v>203</v>
      </c>
      <c r="AF168" s="98">
        <v>187</v>
      </c>
      <c r="AG168" s="98">
        <v>195</v>
      </c>
    </row>
    <row r="169" spans="1:33" x14ac:dyDescent="0.3">
      <c r="A169" s="7">
        <v>164</v>
      </c>
      <c r="B169" s="7" t="s">
        <v>557</v>
      </c>
      <c r="C169" s="7" t="s">
        <v>237</v>
      </c>
      <c r="D169" s="8">
        <f>'CDC Source Data'!D182</f>
        <v>881527</v>
      </c>
      <c r="E169" s="8">
        <f>'CDC Source Data'!E182</f>
        <v>210</v>
      </c>
      <c r="F169" s="31">
        <f t="shared" si="2"/>
        <v>23.893896396065227</v>
      </c>
      <c r="G169" s="9">
        <f>'CDC Source Data'!F182</f>
        <v>1.22</v>
      </c>
      <c r="H169" s="7" t="str">
        <f>'CDC Source Data'!G182</f>
        <v>Completeness of provisional 2019 data under 90% after 6 months.</v>
      </c>
      <c r="I169" s="97">
        <v>24</v>
      </c>
      <c r="J169" s="97">
        <v>25.1</v>
      </c>
      <c r="K169" s="98">
        <v>306</v>
      </c>
      <c r="L169" s="98">
        <v>323</v>
      </c>
      <c r="M169" s="98">
        <v>313</v>
      </c>
      <c r="N169" s="98">
        <v>298</v>
      </c>
      <c r="O169" s="98">
        <v>299</v>
      </c>
      <c r="P169" s="98">
        <v>301</v>
      </c>
      <c r="Q169" s="98">
        <v>323</v>
      </c>
      <c r="R169" s="98">
        <v>340</v>
      </c>
      <c r="S169" s="98">
        <v>389</v>
      </c>
      <c r="T169" s="98">
        <v>387</v>
      </c>
      <c r="U169" s="98">
        <v>415</v>
      </c>
      <c r="V169" s="98">
        <v>422</v>
      </c>
      <c r="W169" s="98">
        <v>392</v>
      </c>
      <c r="X169" s="98">
        <v>429</v>
      </c>
      <c r="Y169" s="98">
        <v>409</v>
      </c>
      <c r="Z169" s="98">
        <v>397</v>
      </c>
      <c r="AA169" s="98">
        <v>386</v>
      </c>
      <c r="AB169" s="98">
        <v>333</v>
      </c>
      <c r="AC169" s="98">
        <v>296</v>
      </c>
      <c r="AD169" s="98">
        <v>268</v>
      </c>
      <c r="AE169" s="98">
        <v>233</v>
      </c>
      <c r="AF169" s="98">
        <v>230</v>
      </c>
      <c r="AG169" s="98">
        <v>210</v>
      </c>
    </row>
    <row r="170" spans="1:33" x14ac:dyDescent="0.3">
      <c r="A170" s="7">
        <v>165</v>
      </c>
      <c r="B170" s="7" t="s">
        <v>558</v>
      </c>
      <c r="C170" s="7" t="s">
        <v>230</v>
      </c>
      <c r="D170" s="8">
        <f>'CDC Source Data'!D92</f>
        <v>113873</v>
      </c>
      <c r="E170" s="8">
        <f>'CDC Source Data'!E92</f>
        <v>27</v>
      </c>
      <c r="F170" s="31">
        <f t="shared" si="2"/>
        <v>23.822299260260888</v>
      </c>
      <c r="G170" s="9">
        <f>'CDC Source Data'!F92</f>
        <v>0</v>
      </c>
      <c r="H170" s="7">
        <f>'CDC Source Data'!G92</f>
        <v>0</v>
      </c>
      <c r="I170" s="97">
        <v>15.4</v>
      </c>
      <c r="J170" s="97">
        <v>16</v>
      </c>
      <c r="K170" s="98">
        <v>12</v>
      </c>
      <c r="L170" s="98">
        <v>15</v>
      </c>
      <c r="M170" s="98">
        <v>13</v>
      </c>
      <c r="N170" s="98">
        <v>15</v>
      </c>
      <c r="O170" s="98">
        <v>18</v>
      </c>
      <c r="P170" s="98">
        <v>21</v>
      </c>
      <c r="Q170" s="98">
        <v>23</v>
      </c>
      <c r="R170" s="98">
        <v>20</v>
      </c>
      <c r="S170" s="98">
        <v>26</v>
      </c>
      <c r="T170" s="98">
        <v>26</v>
      </c>
      <c r="U170" s="98">
        <v>24</v>
      </c>
      <c r="V170" s="98">
        <v>26</v>
      </c>
      <c r="W170" s="98">
        <v>20</v>
      </c>
      <c r="X170" s="98">
        <v>16</v>
      </c>
      <c r="Y170" s="98">
        <v>17</v>
      </c>
      <c r="Z170" s="98">
        <v>22</v>
      </c>
      <c r="AA170" s="98">
        <v>22</v>
      </c>
      <c r="AB170" s="98">
        <v>21</v>
      </c>
      <c r="AC170" s="98">
        <v>21</v>
      </c>
      <c r="AD170" s="98">
        <v>21</v>
      </c>
      <c r="AE170" s="98">
        <v>22</v>
      </c>
      <c r="AF170" s="98">
        <v>27</v>
      </c>
      <c r="AG170" s="98">
        <v>27</v>
      </c>
    </row>
    <row r="171" spans="1:33" x14ac:dyDescent="0.3">
      <c r="A171" s="7">
        <v>166</v>
      </c>
      <c r="B171" s="7" t="s">
        <v>559</v>
      </c>
      <c r="C171" s="7" t="s">
        <v>50</v>
      </c>
      <c r="D171" s="8">
        <f>'CDC Source Data'!D168</f>
        <v>1055159</v>
      </c>
      <c r="E171" s="8">
        <f>'CDC Source Data'!E168</f>
        <v>250</v>
      </c>
      <c r="F171" s="31">
        <f t="shared" si="2"/>
        <v>23.710624994511431</v>
      </c>
      <c r="G171" s="9">
        <f>'CDC Source Data'!F168</f>
        <v>0.03</v>
      </c>
      <c r="H171" s="7">
        <f>'CDC Source Data'!G168</f>
        <v>0</v>
      </c>
      <c r="I171" s="97">
        <v>33</v>
      </c>
      <c r="J171" s="97">
        <v>34.4</v>
      </c>
      <c r="K171" s="98">
        <v>421</v>
      </c>
      <c r="L171" s="98">
        <v>469</v>
      </c>
      <c r="M171" s="98">
        <v>512</v>
      </c>
      <c r="N171" s="98">
        <v>521</v>
      </c>
      <c r="O171" s="98">
        <v>516</v>
      </c>
      <c r="P171" s="98">
        <v>531</v>
      </c>
      <c r="Q171" s="98">
        <v>528</v>
      </c>
      <c r="R171" s="98">
        <v>537</v>
      </c>
      <c r="S171" s="98">
        <v>538</v>
      </c>
      <c r="T171" s="98">
        <v>520</v>
      </c>
      <c r="U171" s="98">
        <v>499</v>
      </c>
      <c r="V171" s="98">
        <v>519</v>
      </c>
      <c r="W171" s="98">
        <v>494</v>
      </c>
      <c r="X171" s="98">
        <v>486</v>
      </c>
      <c r="Y171" s="98">
        <v>493</v>
      </c>
      <c r="Z171" s="98">
        <v>448</v>
      </c>
      <c r="AA171" s="98">
        <v>452</v>
      </c>
      <c r="AB171" s="98">
        <v>406</v>
      </c>
      <c r="AC171" s="98">
        <v>348</v>
      </c>
      <c r="AD171" s="98">
        <v>303</v>
      </c>
      <c r="AE171" s="98">
        <v>264</v>
      </c>
      <c r="AF171" s="98">
        <v>261</v>
      </c>
      <c r="AG171" s="98">
        <v>250</v>
      </c>
    </row>
    <row r="172" spans="1:33" x14ac:dyDescent="0.3">
      <c r="A172" s="7">
        <v>167</v>
      </c>
      <c r="B172" s="7" t="s">
        <v>40</v>
      </c>
      <c r="C172" s="7" t="s">
        <v>17</v>
      </c>
      <c r="D172" s="8">
        <f>'CDC Source Data'!D269</f>
        <v>578533</v>
      </c>
      <c r="E172" s="8">
        <f>'CDC Source Data'!E269</f>
        <v>137</v>
      </c>
      <c r="F172" s="31">
        <f t="shared" si="2"/>
        <v>23.693111654262534</v>
      </c>
      <c r="G172" s="9">
        <f>'CDC Source Data'!F269</f>
        <v>0.02</v>
      </c>
      <c r="H172" s="7">
        <f>'CDC Source Data'!G269</f>
        <v>0</v>
      </c>
      <c r="I172" s="100"/>
      <c r="J172" s="100"/>
      <c r="K172" s="98">
        <v>114</v>
      </c>
      <c r="L172" s="98">
        <v>125</v>
      </c>
      <c r="M172" s="98">
        <v>139</v>
      </c>
      <c r="N172" s="98">
        <v>151</v>
      </c>
      <c r="O172" s="98">
        <v>153</v>
      </c>
      <c r="P172" s="98">
        <v>161</v>
      </c>
      <c r="Q172" s="98">
        <v>177</v>
      </c>
      <c r="R172" s="98">
        <v>178</v>
      </c>
      <c r="S172" s="98">
        <v>186</v>
      </c>
      <c r="T172" s="98">
        <v>180</v>
      </c>
      <c r="U172" s="98">
        <v>163</v>
      </c>
      <c r="V172" s="98">
        <v>171</v>
      </c>
      <c r="W172" s="98">
        <v>161</v>
      </c>
      <c r="X172" s="98">
        <v>168</v>
      </c>
      <c r="Y172" s="98">
        <v>167</v>
      </c>
      <c r="Z172" s="98">
        <v>161</v>
      </c>
      <c r="AA172" s="98">
        <v>161</v>
      </c>
      <c r="AB172" s="98">
        <v>158</v>
      </c>
      <c r="AC172" s="98">
        <v>140</v>
      </c>
      <c r="AD172" s="98">
        <v>139</v>
      </c>
      <c r="AE172" s="98">
        <v>135</v>
      </c>
      <c r="AF172" s="98">
        <v>127</v>
      </c>
      <c r="AG172" s="98">
        <v>137</v>
      </c>
    </row>
    <row r="173" spans="1:33" x14ac:dyDescent="0.3">
      <c r="A173" s="7">
        <v>168</v>
      </c>
      <c r="B173" s="7" t="s">
        <v>509</v>
      </c>
      <c r="C173" s="7" t="s">
        <v>41</v>
      </c>
      <c r="D173" s="8">
        <f>'CDC Source Data'!D188</f>
        <v>329437</v>
      </c>
      <c r="E173" s="8">
        <f>'CDC Source Data'!E188</f>
        <v>78</v>
      </c>
      <c r="F173" s="31">
        <f t="shared" si="2"/>
        <v>23.680585204301224</v>
      </c>
      <c r="G173" s="9">
        <f>'CDC Source Data'!F188</f>
        <v>0.04</v>
      </c>
      <c r="H173" s="7">
        <f>'CDC Source Data'!G188</f>
        <v>0</v>
      </c>
      <c r="I173" s="97">
        <v>32.9</v>
      </c>
      <c r="J173" s="97">
        <v>34.4</v>
      </c>
      <c r="K173" s="98">
        <v>110</v>
      </c>
      <c r="L173" s="98">
        <v>138</v>
      </c>
      <c r="M173" s="98">
        <v>159</v>
      </c>
      <c r="N173" s="98">
        <v>154</v>
      </c>
      <c r="O173" s="98">
        <v>155</v>
      </c>
      <c r="P173" s="98">
        <v>140</v>
      </c>
      <c r="Q173" s="98">
        <v>152</v>
      </c>
      <c r="R173" s="98">
        <v>167</v>
      </c>
      <c r="S173" s="98">
        <v>170</v>
      </c>
      <c r="T173" s="98">
        <v>166</v>
      </c>
      <c r="U173" s="98">
        <v>158</v>
      </c>
      <c r="V173" s="98">
        <v>162</v>
      </c>
      <c r="W173" s="98">
        <v>162</v>
      </c>
      <c r="X173" s="98">
        <v>169</v>
      </c>
      <c r="Y173" s="98">
        <v>151</v>
      </c>
      <c r="Z173" s="98">
        <v>140</v>
      </c>
      <c r="AA173" s="98">
        <v>125</v>
      </c>
      <c r="AB173" s="98">
        <v>106</v>
      </c>
      <c r="AC173" s="98">
        <v>97</v>
      </c>
      <c r="AD173" s="98">
        <v>89</v>
      </c>
      <c r="AE173" s="98">
        <v>79</v>
      </c>
      <c r="AF173" s="98">
        <v>82</v>
      </c>
      <c r="AG173" s="98">
        <v>78</v>
      </c>
    </row>
    <row r="174" spans="1:33" x14ac:dyDescent="0.3">
      <c r="A174" s="7">
        <v>169</v>
      </c>
      <c r="B174" s="7" t="s">
        <v>560</v>
      </c>
      <c r="C174" s="7" t="s">
        <v>35</v>
      </c>
      <c r="D174" s="8">
        <f>'CDC Source Data'!D303</f>
        <v>502955</v>
      </c>
      <c r="E174" s="8">
        <f>'CDC Source Data'!E303</f>
        <v>119</v>
      </c>
      <c r="F174" s="31">
        <f t="shared" si="2"/>
        <v>23.676757619818055</v>
      </c>
      <c r="G174" s="9">
        <f>'CDC Source Data'!F303</f>
        <v>0.02</v>
      </c>
      <c r="H174" s="7" t="str">
        <f>'CDC Source Data'!G303</f>
        <v>Completeness of provisional 2019 data under 90% after 6 months.</v>
      </c>
      <c r="I174" s="97">
        <v>19.100000000000001</v>
      </c>
      <c r="J174" s="97">
        <v>20</v>
      </c>
      <c r="K174" s="98">
        <v>149</v>
      </c>
      <c r="L174" s="98">
        <v>162</v>
      </c>
      <c r="M174" s="98">
        <v>169</v>
      </c>
      <c r="N174" s="98">
        <v>170</v>
      </c>
      <c r="O174" s="98">
        <v>196</v>
      </c>
      <c r="P174" s="98">
        <v>202</v>
      </c>
      <c r="Q174" s="98">
        <v>216</v>
      </c>
      <c r="R174" s="98">
        <v>221</v>
      </c>
      <c r="S174" s="98">
        <v>203</v>
      </c>
      <c r="T174" s="98">
        <v>188</v>
      </c>
      <c r="U174" s="98">
        <v>182</v>
      </c>
      <c r="V174" s="98">
        <v>195</v>
      </c>
      <c r="W174" s="98">
        <v>191</v>
      </c>
      <c r="X174" s="98">
        <v>212</v>
      </c>
      <c r="Y174" s="98">
        <v>201</v>
      </c>
      <c r="Z174" s="98">
        <v>176</v>
      </c>
      <c r="AA174" s="98">
        <v>165</v>
      </c>
      <c r="AB174" s="98">
        <v>148</v>
      </c>
      <c r="AC174" s="98">
        <v>141</v>
      </c>
      <c r="AD174" s="98">
        <v>127</v>
      </c>
      <c r="AE174" s="98">
        <v>134</v>
      </c>
      <c r="AF174" s="98">
        <v>118</v>
      </c>
      <c r="AG174" s="98">
        <v>119</v>
      </c>
    </row>
    <row r="175" spans="1:33" x14ac:dyDescent="0.3">
      <c r="A175" s="7">
        <v>170</v>
      </c>
      <c r="B175" s="7" t="s">
        <v>561</v>
      </c>
      <c r="C175" s="7" t="s">
        <v>447</v>
      </c>
      <c r="D175" s="8">
        <f>'CDC Source Data'!D323</f>
        <v>322030</v>
      </c>
      <c r="E175" s="8">
        <f>'CDC Source Data'!E323</f>
        <v>76</v>
      </c>
      <c r="F175" s="31">
        <f t="shared" si="2"/>
        <v>23.660168404728058</v>
      </c>
      <c r="G175" s="9">
        <f>'CDC Source Data'!F323</f>
        <v>0.03</v>
      </c>
      <c r="H175" s="7">
        <f>'CDC Source Data'!G323</f>
        <v>0</v>
      </c>
      <c r="I175" s="97">
        <v>29.6</v>
      </c>
      <c r="J175" s="97">
        <v>30.9</v>
      </c>
      <c r="K175" s="98">
        <v>111</v>
      </c>
      <c r="L175" s="98">
        <v>125</v>
      </c>
      <c r="M175" s="98">
        <v>145</v>
      </c>
      <c r="N175" s="98">
        <v>144</v>
      </c>
      <c r="O175" s="98">
        <v>158</v>
      </c>
      <c r="P175" s="98">
        <v>144</v>
      </c>
      <c r="Q175" s="98">
        <v>143</v>
      </c>
      <c r="R175" s="98">
        <v>152</v>
      </c>
      <c r="S175" s="98">
        <v>143</v>
      </c>
      <c r="T175" s="98">
        <v>149</v>
      </c>
      <c r="U175" s="98">
        <v>137</v>
      </c>
      <c r="V175" s="98">
        <v>134</v>
      </c>
      <c r="W175" s="98">
        <v>136</v>
      </c>
      <c r="X175" s="98">
        <v>135</v>
      </c>
      <c r="Y175" s="98">
        <v>141</v>
      </c>
      <c r="Z175" s="98">
        <v>128</v>
      </c>
      <c r="AA175" s="98">
        <v>116</v>
      </c>
      <c r="AB175" s="98">
        <v>101</v>
      </c>
      <c r="AC175" s="98">
        <v>85</v>
      </c>
      <c r="AD175" s="98">
        <v>74</v>
      </c>
      <c r="AE175" s="98">
        <v>77</v>
      </c>
      <c r="AF175" s="98">
        <v>73</v>
      </c>
      <c r="AG175" s="98">
        <v>76</v>
      </c>
    </row>
    <row r="176" spans="1:33" x14ac:dyDescent="0.3">
      <c r="A176" s="7">
        <v>171</v>
      </c>
      <c r="B176" s="7" t="s">
        <v>562</v>
      </c>
      <c r="C176" s="7" t="s">
        <v>50</v>
      </c>
      <c r="D176" s="8">
        <f>'CDC Source Data'!D411</f>
        <v>220483</v>
      </c>
      <c r="E176" s="8">
        <f>'CDC Source Data'!E411</f>
        <v>52</v>
      </c>
      <c r="F176" s="31">
        <f t="shared" si="2"/>
        <v>23.600285687668851</v>
      </c>
      <c r="G176" s="9">
        <f>'CDC Source Data'!F411</f>
        <v>1.0900000000000001</v>
      </c>
      <c r="H176" s="7" t="str">
        <f>'CDC Source Data'!G411</f>
        <v>Completeness of provisional 2019 data under 90% after 6 months.</v>
      </c>
      <c r="I176" s="97">
        <v>23.3</v>
      </c>
      <c r="J176" s="97">
        <v>24.3</v>
      </c>
      <c r="K176" s="98">
        <v>65</v>
      </c>
      <c r="L176" s="98">
        <v>57</v>
      </c>
      <c r="M176" s="98">
        <v>55</v>
      </c>
      <c r="N176" s="98">
        <v>70</v>
      </c>
      <c r="O176" s="98">
        <v>73</v>
      </c>
      <c r="P176" s="98">
        <v>82</v>
      </c>
      <c r="Q176" s="98">
        <v>83</v>
      </c>
      <c r="R176" s="98">
        <v>83</v>
      </c>
      <c r="S176" s="98">
        <v>93</v>
      </c>
      <c r="T176" s="98">
        <v>110</v>
      </c>
      <c r="U176" s="98">
        <v>115</v>
      </c>
      <c r="V176" s="98">
        <v>117</v>
      </c>
      <c r="W176" s="98">
        <v>103</v>
      </c>
      <c r="X176" s="98">
        <v>91</v>
      </c>
      <c r="Y176" s="98">
        <v>93</v>
      </c>
      <c r="Z176" s="98">
        <v>86</v>
      </c>
      <c r="AA176" s="98">
        <v>86</v>
      </c>
      <c r="AB176" s="98">
        <v>76</v>
      </c>
      <c r="AC176" s="98">
        <v>61</v>
      </c>
      <c r="AD176" s="98">
        <v>56</v>
      </c>
      <c r="AE176" s="98">
        <v>55</v>
      </c>
      <c r="AF176" s="98">
        <v>49</v>
      </c>
      <c r="AG176" s="98">
        <v>52</v>
      </c>
    </row>
    <row r="177" spans="1:33" x14ac:dyDescent="0.3">
      <c r="A177" s="7">
        <v>172</v>
      </c>
      <c r="B177" s="7" t="s">
        <v>563</v>
      </c>
      <c r="C177" s="7" t="s">
        <v>35</v>
      </c>
      <c r="D177" s="8">
        <f>'CDC Source Data'!D573</f>
        <v>106166</v>
      </c>
      <c r="E177" s="8">
        <f>'CDC Source Data'!E573</f>
        <v>25</v>
      </c>
      <c r="F177" s="31">
        <f t="shared" si="2"/>
        <v>23.584584752565959</v>
      </c>
      <c r="G177" s="9">
        <f>'CDC Source Data'!F573</f>
        <v>0</v>
      </c>
      <c r="H177" s="7">
        <f>'CDC Source Data'!G573</f>
        <v>0</v>
      </c>
      <c r="I177" s="97">
        <v>21.4</v>
      </c>
      <c r="J177" s="97">
        <v>22.3</v>
      </c>
      <c r="K177" s="98">
        <v>19</v>
      </c>
      <c r="L177" s="98">
        <v>19</v>
      </c>
      <c r="M177" s="98">
        <v>19</v>
      </c>
      <c r="N177" s="98">
        <v>17</v>
      </c>
      <c r="O177" s="98">
        <v>15</v>
      </c>
      <c r="P177" s="98">
        <v>26</v>
      </c>
      <c r="Q177" s="98">
        <v>28</v>
      </c>
      <c r="R177" s="98">
        <v>32</v>
      </c>
      <c r="S177" s="98">
        <v>43</v>
      </c>
      <c r="T177" s="98">
        <v>34</v>
      </c>
      <c r="U177" s="98">
        <v>33</v>
      </c>
      <c r="V177" s="98">
        <v>33</v>
      </c>
      <c r="W177" s="98">
        <v>25</v>
      </c>
      <c r="X177" s="98">
        <v>30</v>
      </c>
      <c r="Y177" s="98">
        <v>31</v>
      </c>
      <c r="Z177" s="98">
        <v>28</v>
      </c>
      <c r="AA177" s="98">
        <v>24</v>
      </c>
      <c r="AB177" s="98">
        <v>21</v>
      </c>
      <c r="AC177" s="98">
        <v>21</v>
      </c>
      <c r="AD177" s="98">
        <v>26</v>
      </c>
      <c r="AE177" s="98">
        <v>29</v>
      </c>
      <c r="AF177" s="98">
        <v>28</v>
      </c>
      <c r="AG177" s="98">
        <v>25</v>
      </c>
    </row>
    <row r="178" spans="1:33" x14ac:dyDescent="0.3">
      <c r="A178" s="7">
        <v>173</v>
      </c>
      <c r="B178" s="7" t="s">
        <v>564</v>
      </c>
      <c r="C178" s="7" t="s">
        <v>19</v>
      </c>
      <c r="D178" s="8">
        <f>'CDC Source Data'!D501</f>
        <v>144523</v>
      </c>
      <c r="E178" s="8">
        <f>'CDC Source Data'!E501</f>
        <v>34</v>
      </c>
      <c r="F178" s="31">
        <f t="shared" si="2"/>
        <v>23.548028559049037</v>
      </c>
      <c r="G178" s="9">
        <f>'CDC Source Data'!F501</f>
        <v>0.05</v>
      </c>
      <c r="H178" s="7" t="str">
        <f>'CDC Source Data'!G501</f>
        <v>Completeness of provisional 2019 data under 90% after 6 months.</v>
      </c>
      <c r="I178" s="97">
        <v>31.2</v>
      </c>
      <c r="J178" s="97">
        <v>32.6</v>
      </c>
      <c r="K178" s="98">
        <v>59</v>
      </c>
      <c r="L178" s="98">
        <v>67</v>
      </c>
      <c r="M178" s="98">
        <v>63</v>
      </c>
      <c r="N178" s="98">
        <v>69</v>
      </c>
      <c r="O178" s="98">
        <v>73</v>
      </c>
      <c r="P178" s="98">
        <v>67</v>
      </c>
      <c r="Q178" s="98">
        <v>70</v>
      </c>
      <c r="R178" s="98">
        <v>66</v>
      </c>
      <c r="S178" s="98">
        <v>64</v>
      </c>
      <c r="T178" s="98">
        <v>48</v>
      </c>
      <c r="U178" s="98">
        <v>46</v>
      </c>
      <c r="V178" s="98">
        <v>59</v>
      </c>
      <c r="W178" s="98">
        <v>63</v>
      </c>
      <c r="X178" s="98">
        <v>75</v>
      </c>
      <c r="Y178" s="98">
        <v>81</v>
      </c>
      <c r="Z178" s="98">
        <v>68</v>
      </c>
      <c r="AA178" s="98">
        <v>57</v>
      </c>
      <c r="AB178" s="98">
        <v>49</v>
      </c>
      <c r="AC178" s="98">
        <v>40</v>
      </c>
      <c r="AD178" s="98">
        <v>34</v>
      </c>
      <c r="AE178" s="98">
        <v>35</v>
      </c>
      <c r="AF178" s="98">
        <v>33</v>
      </c>
      <c r="AG178" s="98">
        <v>34</v>
      </c>
    </row>
    <row r="179" spans="1:33" x14ac:dyDescent="0.3">
      <c r="A179" s="7">
        <v>174</v>
      </c>
      <c r="B179" s="7" t="s">
        <v>565</v>
      </c>
      <c r="C179" s="7" t="s">
        <v>467</v>
      </c>
      <c r="D179" s="8">
        <f>'CDC Source Data'!D399</f>
        <v>243333</v>
      </c>
      <c r="E179" s="8">
        <f>'CDC Source Data'!E399</f>
        <v>57</v>
      </c>
      <c r="F179" s="31">
        <f t="shared" si="2"/>
        <v>23.52566719484096</v>
      </c>
      <c r="G179" s="9">
        <f>'CDC Source Data'!F399</f>
        <v>0.4</v>
      </c>
      <c r="H179" s="7" t="str">
        <f>'CDC Source Data'!G399</f>
        <v>Completeness of provisional 2019 data under 90% after 6 months.</v>
      </c>
      <c r="I179" s="97">
        <v>30.5</v>
      </c>
      <c r="J179" s="97">
        <v>31.8</v>
      </c>
      <c r="K179" s="98">
        <v>60</v>
      </c>
      <c r="L179" s="98">
        <v>75</v>
      </c>
      <c r="M179" s="98">
        <v>93</v>
      </c>
      <c r="N179" s="98">
        <v>96</v>
      </c>
      <c r="O179" s="98">
        <v>105</v>
      </c>
      <c r="P179" s="98">
        <v>96</v>
      </c>
      <c r="Q179" s="98">
        <v>100</v>
      </c>
      <c r="R179" s="98">
        <v>98</v>
      </c>
      <c r="S179" s="98">
        <v>98</v>
      </c>
      <c r="T179" s="98">
        <v>90</v>
      </c>
      <c r="U179" s="98">
        <v>88</v>
      </c>
      <c r="V179" s="98">
        <v>92</v>
      </c>
      <c r="W179" s="98">
        <v>98</v>
      </c>
      <c r="X179" s="98">
        <v>109</v>
      </c>
      <c r="Y179" s="98">
        <v>90</v>
      </c>
      <c r="Z179" s="98">
        <v>74</v>
      </c>
      <c r="AA179" s="98">
        <v>64</v>
      </c>
      <c r="AB179" s="98">
        <v>60</v>
      </c>
      <c r="AC179" s="98">
        <v>73</v>
      </c>
      <c r="AD179" s="98">
        <v>84</v>
      </c>
      <c r="AE179" s="98">
        <v>79</v>
      </c>
      <c r="AF179" s="98">
        <v>67</v>
      </c>
      <c r="AG179" s="98">
        <v>57</v>
      </c>
    </row>
    <row r="180" spans="1:33" x14ac:dyDescent="0.3">
      <c r="A180" s="7">
        <v>175</v>
      </c>
      <c r="B180" s="7" t="s">
        <v>566</v>
      </c>
      <c r="C180" s="7" t="s">
        <v>32</v>
      </c>
      <c r="D180" s="8">
        <f>'CDC Source Data'!D167</f>
        <v>299963</v>
      </c>
      <c r="E180" s="8">
        <f>'CDC Source Data'!E167</f>
        <v>70</v>
      </c>
      <c r="F180" s="31">
        <f t="shared" si="2"/>
        <v>23.424689622862498</v>
      </c>
      <c r="G180" s="9">
        <f>'CDC Source Data'!F167</f>
        <v>1.02</v>
      </c>
      <c r="H180" s="7" t="str">
        <f>'CDC Source Data'!G167</f>
        <v>Completeness of provisional 2019 data under 90% after 6 months.</v>
      </c>
      <c r="I180" s="97">
        <v>23.4</v>
      </c>
      <c r="J180" s="97">
        <v>24.5</v>
      </c>
      <c r="K180" s="98">
        <v>86</v>
      </c>
      <c r="L180" s="98">
        <v>95</v>
      </c>
      <c r="M180" s="98">
        <v>103</v>
      </c>
      <c r="N180" s="98">
        <v>124</v>
      </c>
      <c r="O180" s="98">
        <v>124</v>
      </c>
      <c r="P180" s="98">
        <v>123</v>
      </c>
      <c r="Q180" s="98">
        <v>111</v>
      </c>
      <c r="R180" s="98">
        <v>96</v>
      </c>
      <c r="S180" s="98">
        <v>101</v>
      </c>
      <c r="T180" s="98">
        <v>109</v>
      </c>
      <c r="U180" s="98">
        <v>126</v>
      </c>
      <c r="V180" s="98">
        <v>134</v>
      </c>
      <c r="W180" s="98">
        <v>130</v>
      </c>
      <c r="X180" s="98">
        <v>126</v>
      </c>
      <c r="Y180" s="98">
        <v>112</v>
      </c>
      <c r="Z180" s="98">
        <v>106</v>
      </c>
      <c r="AA180" s="98">
        <v>98</v>
      </c>
      <c r="AB180" s="98">
        <v>88</v>
      </c>
      <c r="AC180" s="98">
        <v>76</v>
      </c>
      <c r="AD180" s="98">
        <v>73</v>
      </c>
      <c r="AE180" s="98">
        <v>71</v>
      </c>
      <c r="AF180" s="98">
        <v>65</v>
      </c>
      <c r="AG180" s="98">
        <v>70</v>
      </c>
    </row>
    <row r="181" spans="1:33" x14ac:dyDescent="0.3">
      <c r="A181" s="7">
        <v>176</v>
      </c>
      <c r="B181" s="7" t="s">
        <v>567</v>
      </c>
      <c r="C181" s="7" t="s">
        <v>458</v>
      </c>
      <c r="D181" s="8">
        <f>'CDC Source Data'!D522</f>
        <v>369256</v>
      </c>
      <c r="E181" s="8">
        <f>'CDC Source Data'!E522</f>
        <v>86</v>
      </c>
      <c r="F181" s="31">
        <f t="shared" si="2"/>
        <v>23.336211466080819</v>
      </c>
      <c r="G181" s="9">
        <f>'CDC Source Data'!F522</f>
        <v>0.11</v>
      </c>
      <c r="H181" s="7" t="str">
        <f>'CDC Source Data'!G522</f>
        <v>Completeness of provisional 2019 data under 90% after 6 months.</v>
      </c>
      <c r="I181" s="97">
        <v>27.5</v>
      </c>
      <c r="J181" s="97">
        <v>28.7</v>
      </c>
      <c r="K181" s="98">
        <v>78</v>
      </c>
      <c r="L181" s="98">
        <v>92</v>
      </c>
      <c r="M181" s="98">
        <v>97</v>
      </c>
      <c r="N181" s="98">
        <v>111</v>
      </c>
      <c r="O181" s="98">
        <v>125</v>
      </c>
      <c r="P181" s="98">
        <v>140</v>
      </c>
      <c r="Q181" s="98">
        <v>147</v>
      </c>
      <c r="R181" s="98">
        <v>145</v>
      </c>
      <c r="S181" s="98">
        <v>167</v>
      </c>
      <c r="T181" s="98">
        <v>174</v>
      </c>
      <c r="U181" s="98">
        <v>176</v>
      </c>
      <c r="V181" s="98">
        <v>177</v>
      </c>
      <c r="W181" s="98">
        <v>167</v>
      </c>
      <c r="X181" s="98">
        <v>156</v>
      </c>
      <c r="Y181" s="98">
        <v>161</v>
      </c>
      <c r="Z181" s="98">
        <v>156</v>
      </c>
      <c r="AA181" s="98">
        <v>132</v>
      </c>
      <c r="AB181" s="98">
        <v>107</v>
      </c>
      <c r="AC181" s="98">
        <v>89</v>
      </c>
      <c r="AD181" s="98">
        <v>83</v>
      </c>
      <c r="AE181" s="98">
        <v>87</v>
      </c>
      <c r="AF181" s="98">
        <v>91</v>
      </c>
      <c r="AG181" s="98">
        <v>86</v>
      </c>
    </row>
    <row r="182" spans="1:33" x14ac:dyDescent="0.3">
      <c r="A182" s="7">
        <v>177</v>
      </c>
      <c r="B182" s="7" t="s">
        <v>568</v>
      </c>
      <c r="C182" s="7" t="s">
        <v>458</v>
      </c>
      <c r="D182" s="8">
        <f>'CDC Source Data'!D192</f>
        <v>138049</v>
      </c>
      <c r="E182" s="8">
        <f>'CDC Source Data'!E192</f>
        <v>32</v>
      </c>
      <c r="F182" s="31">
        <f t="shared" si="2"/>
        <v>23.290075178196158</v>
      </c>
      <c r="G182" s="9">
        <f>'CDC Source Data'!F192</f>
        <v>0.06</v>
      </c>
      <c r="H182" s="7" t="str">
        <f>'CDC Source Data'!G192</f>
        <v>Completeness of provisional 2019 data under 90% after 6 months.</v>
      </c>
      <c r="I182" s="97">
        <v>17.7</v>
      </c>
      <c r="J182" s="97">
        <v>18.5</v>
      </c>
      <c r="K182" s="98">
        <v>29</v>
      </c>
      <c r="L182" s="98">
        <v>36</v>
      </c>
      <c r="M182" s="98">
        <v>38</v>
      </c>
      <c r="N182" s="98">
        <v>43</v>
      </c>
      <c r="O182" s="98">
        <v>49</v>
      </c>
      <c r="P182" s="98">
        <v>54</v>
      </c>
      <c r="Q182" s="98">
        <v>56</v>
      </c>
      <c r="R182" s="98">
        <v>58</v>
      </c>
      <c r="S182" s="98">
        <v>55</v>
      </c>
      <c r="T182" s="98">
        <v>54</v>
      </c>
      <c r="U182" s="98">
        <v>69</v>
      </c>
      <c r="V182" s="98">
        <v>72</v>
      </c>
      <c r="W182" s="98">
        <v>69</v>
      </c>
      <c r="X182" s="98">
        <v>75</v>
      </c>
      <c r="Y182" s="98">
        <v>61</v>
      </c>
      <c r="Z182" s="98">
        <v>61</v>
      </c>
      <c r="AA182" s="98">
        <v>67</v>
      </c>
      <c r="AB182" s="98">
        <v>52</v>
      </c>
      <c r="AC182" s="98">
        <v>50</v>
      </c>
      <c r="AD182" s="98">
        <v>35</v>
      </c>
      <c r="AE182" s="98">
        <v>25</v>
      </c>
      <c r="AF182" s="98">
        <v>32</v>
      </c>
      <c r="AG182" s="98">
        <v>32</v>
      </c>
    </row>
    <row r="183" spans="1:33" x14ac:dyDescent="0.3">
      <c r="A183" s="7">
        <v>178</v>
      </c>
      <c r="B183" s="7" t="s">
        <v>569</v>
      </c>
      <c r="C183" s="7" t="s">
        <v>458</v>
      </c>
      <c r="D183" s="8">
        <f>'CDC Source Data'!D437</f>
        <v>138207</v>
      </c>
      <c r="E183" s="8">
        <f>'CDC Source Data'!E437</f>
        <v>32</v>
      </c>
      <c r="F183" s="31">
        <f t="shared" si="2"/>
        <v>23.180175155198516</v>
      </c>
      <c r="G183" s="9">
        <f>'CDC Source Data'!F437</f>
        <v>0</v>
      </c>
      <c r="H183" s="7">
        <f>'CDC Source Data'!G437</f>
        <v>0</v>
      </c>
      <c r="I183" s="97">
        <v>33.799999999999997</v>
      </c>
      <c r="J183" s="97">
        <v>35.299999999999997</v>
      </c>
      <c r="K183" s="98">
        <v>41</v>
      </c>
      <c r="L183" s="98">
        <v>41</v>
      </c>
      <c r="M183" s="98">
        <v>38</v>
      </c>
      <c r="N183" s="98">
        <v>49</v>
      </c>
      <c r="O183" s="98">
        <v>48</v>
      </c>
      <c r="P183" s="98">
        <v>57</v>
      </c>
      <c r="Q183" s="98">
        <v>62</v>
      </c>
      <c r="R183" s="98">
        <v>64</v>
      </c>
      <c r="S183" s="98">
        <v>69</v>
      </c>
      <c r="T183" s="98">
        <v>68</v>
      </c>
      <c r="U183" s="98">
        <v>68</v>
      </c>
      <c r="V183" s="98">
        <v>67</v>
      </c>
      <c r="W183" s="98">
        <v>59</v>
      </c>
      <c r="X183" s="98">
        <v>64</v>
      </c>
      <c r="Y183" s="98">
        <v>60</v>
      </c>
      <c r="Z183" s="98">
        <v>52</v>
      </c>
      <c r="AA183" s="98">
        <v>56</v>
      </c>
      <c r="AB183" s="98">
        <v>48</v>
      </c>
      <c r="AC183" s="98">
        <v>45</v>
      </c>
      <c r="AD183" s="98">
        <v>42</v>
      </c>
      <c r="AE183" s="98">
        <v>36</v>
      </c>
      <c r="AF183" s="98">
        <v>34</v>
      </c>
      <c r="AG183" s="98">
        <v>32</v>
      </c>
    </row>
    <row r="184" spans="1:33" x14ac:dyDescent="0.3">
      <c r="A184" s="7">
        <v>179</v>
      </c>
      <c r="B184" s="7" t="s">
        <v>570</v>
      </c>
      <c r="C184" s="7" t="s">
        <v>15</v>
      </c>
      <c r="D184" s="8">
        <f>'CDC Source Data'!D469</f>
        <v>2529933</v>
      </c>
      <c r="E184" s="8">
        <f>'CDC Source Data'!E469</f>
        <v>583</v>
      </c>
      <c r="F184" s="31">
        <f t="shared" si="2"/>
        <v>23.153675284175186</v>
      </c>
      <c r="G184" s="9">
        <f>'CDC Source Data'!F469</f>
        <v>0.57999999999999996</v>
      </c>
      <c r="H184" s="7">
        <f>'CDC Source Data'!G469</f>
        <v>0</v>
      </c>
      <c r="I184" s="97">
        <v>18.8</v>
      </c>
      <c r="J184" s="97">
        <v>19.600000000000001</v>
      </c>
      <c r="K184" s="98">
        <v>509</v>
      </c>
      <c r="L184" s="98">
        <v>543</v>
      </c>
      <c r="M184" s="98">
        <v>630</v>
      </c>
      <c r="N184" s="98">
        <v>695</v>
      </c>
      <c r="O184" s="98">
        <v>720</v>
      </c>
      <c r="P184" s="98">
        <v>784</v>
      </c>
      <c r="Q184" s="98">
        <v>832</v>
      </c>
      <c r="R184" s="98">
        <v>830</v>
      </c>
      <c r="S184" s="98">
        <v>867</v>
      </c>
      <c r="T184" s="98">
        <v>855</v>
      </c>
      <c r="U184" s="98">
        <v>891</v>
      </c>
      <c r="V184" s="98">
        <v>875</v>
      </c>
      <c r="W184" s="98">
        <v>888</v>
      </c>
      <c r="X184" s="98">
        <v>917</v>
      </c>
      <c r="Y184" s="98">
        <v>864</v>
      </c>
      <c r="Z184" s="98">
        <v>873</v>
      </c>
      <c r="AA184" s="98">
        <v>817</v>
      </c>
      <c r="AB184" s="98">
        <v>745</v>
      </c>
      <c r="AC184" s="98">
        <v>695</v>
      </c>
      <c r="AD184" s="98">
        <v>659</v>
      </c>
      <c r="AE184" s="98">
        <v>665</v>
      </c>
      <c r="AF184" s="98">
        <v>626</v>
      </c>
      <c r="AG184" s="98">
        <v>583</v>
      </c>
    </row>
    <row r="185" spans="1:33" x14ac:dyDescent="0.3">
      <c r="A185" s="7">
        <v>180</v>
      </c>
      <c r="B185" s="7" t="s">
        <v>571</v>
      </c>
      <c r="C185" s="7" t="s">
        <v>572</v>
      </c>
      <c r="D185" s="8">
        <f>'CDC Source Data'!D482</f>
        <v>1216274</v>
      </c>
      <c r="E185" s="8">
        <f>'CDC Source Data'!E482</f>
        <v>280</v>
      </c>
      <c r="F185" s="31">
        <f t="shared" si="2"/>
        <v>23.044088519340235</v>
      </c>
      <c r="G185" s="9">
        <f>'CDC Source Data'!F482</f>
        <v>0.22</v>
      </c>
      <c r="H185" s="7">
        <f>'CDC Source Data'!G482</f>
        <v>0</v>
      </c>
      <c r="I185" s="97">
        <v>27.7</v>
      </c>
      <c r="J185" s="97">
        <v>28.9</v>
      </c>
      <c r="K185" s="98">
        <v>252</v>
      </c>
      <c r="L185" s="98">
        <v>244</v>
      </c>
      <c r="M185" s="98">
        <v>258</v>
      </c>
      <c r="N185" s="98">
        <v>266</v>
      </c>
      <c r="O185" s="98">
        <v>269</v>
      </c>
      <c r="P185" s="98">
        <v>282</v>
      </c>
      <c r="Q185" s="98">
        <v>285</v>
      </c>
      <c r="R185" s="98">
        <v>283</v>
      </c>
      <c r="S185" s="98">
        <v>288</v>
      </c>
      <c r="T185" s="98">
        <v>272</v>
      </c>
      <c r="U185" s="98">
        <v>266</v>
      </c>
      <c r="V185" s="98">
        <v>270</v>
      </c>
      <c r="W185" s="98">
        <v>267</v>
      </c>
      <c r="X185" s="98">
        <v>307</v>
      </c>
      <c r="Y185" s="98">
        <v>307</v>
      </c>
      <c r="Z185" s="98">
        <v>311</v>
      </c>
      <c r="AA185" s="98">
        <v>310</v>
      </c>
      <c r="AB185" s="98">
        <v>297</v>
      </c>
      <c r="AC185" s="98">
        <v>295</v>
      </c>
      <c r="AD185" s="98">
        <v>293</v>
      </c>
      <c r="AE185" s="98">
        <v>297</v>
      </c>
      <c r="AF185" s="98">
        <v>287</v>
      </c>
      <c r="AG185" s="98">
        <v>280</v>
      </c>
    </row>
    <row r="186" spans="1:33" x14ac:dyDescent="0.3">
      <c r="A186" s="7">
        <v>181</v>
      </c>
      <c r="B186" s="7" t="s">
        <v>573</v>
      </c>
      <c r="C186" s="7" t="s">
        <v>467</v>
      </c>
      <c r="D186" s="8">
        <f>'CDC Source Data'!D416</f>
        <v>212954</v>
      </c>
      <c r="E186" s="8">
        <f>'CDC Source Data'!E416</f>
        <v>49</v>
      </c>
      <c r="F186" s="31">
        <f t="shared" si="2"/>
        <v>23.021128462829921</v>
      </c>
      <c r="G186" s="9">
        <f>'CDC Source Data'!F416</f>
        <v>0.39</v>
      </c>
      <c r="H186" s="7" t="str">
        <f>'CDC Source Data'!G416</f>
        <v>Completeness of provisional 2019 data under 90% after 6 months.</v>
      </c>
      <c r="I186" s="97">
        <v>19</v>
      </c>
      <c r="J186" s="97">
        <v>19.8</v>
      </c>
      <c r="K186" s="98">
        <v>43</v>
      </c>
      <c r="L186" s="98">
        <v>48</v>
      </c>
      <c r="M186" s="98">
        <v>55</v>
      </c>
      <c r="N186" s="98">
        <v>56</v>
      </c>
      <c r="O186" s="98">
        <v>59</v>
      </c>
      <c r="P186" s="98">
        <v>64</v>
      </c>
      <c r="Q186" s="98">
        <v>67</v>
      </c>
      <c r="R186" s="98">
        <v>75</v>
      </c>
      <c r="S186" s="98">
        <v>77</v>
      </c>
      <c r="T186" s="98">
        <v>78</v>
      </c>
      <c r="U186" s="98">
        <v>81</v>
      </c>
      <c r="V186" s="98">
        <v>90</v>
      </c>
      <c r="W186" s="98">
        <v>93</v>
      </c>
      <c r="X186" s="98">
        <v>94</v>
      </c>
      <c r="Y186" s="98">
        <v>79</v>
      </c>
      <c r="Z186" s="98">
        <v>56</v>
      </c>
      <c r="AA186" s="98">
        <v>44</v>
      </c>
      <c r="AB186" s="98">
        <v>39</v>
      </c>
      <c r="AC186" s="98">
        <v>42</v>
      </c>
      <c r="AD186" s="98">
        <v>52</v>
      </c>
      <c r="AE186" s="98">
        <v>52</v>
      </c>
      <c r="AF186" s="98">
        <v>50</v>
      </c>
      <c r="AG186" s="98">
        <v>49</v>
      </c>
    </row>
    <row r="187" spans="1:33" x14ac:dyDescent="0.3">
      <c r="A187" s="7">
        <v>182</v>
      </c>
      <c r="B187" s="7" t="s">
        <v>574</v>
      </c>
      <c r="C187" s="7" t="s">
        <v>237</v>
      </c>
      <c r="D187" s="8">
        <f>'CDC Source Data'!D359</f>
        <v>392138</v>
      </c>
      <c r="E187" s="8">
        <f>'CDC Source Data'!E359</f>
        <v>90</v>
      </c>
      <c r="F187" s="31">
        <f t="shared" si="2"/>
        <v>23.00966405890474</v>
      </c>
      <c r="G187" s="9">
        <f>'CDC Source Data'!F359</f>
        <v>0.16</v>
      </c>
      <c r="H187" s="7" t="str">
        <f>'CDC Source Data'!G359</f>
        <v>Completeness of provisional 2019 data under 90% after 6 months.</v>
      </c>
      <c r="I187" s="97">
        <v>19.3</v>
      </c>
      <c r="J187" s="97">
        <v>20.100000000000001</v>
      </c>
      <c r="K187" s="98">
        <v>108</v>
      </c>
      <c r="L187" s="98">
        <v>106</v>
      </c>
      <c r="M187" s="98">
        <v>115</v>
      </c>
      <c r="N187" s="98">
        <v>117</v>
      </c>
      <c r="O187" s="98">
        <v>123</v>
      </c>
      <c r="P187" s="98">
        <v>129</v>
      </c>
      <c r="Q187" s="98">
        <v>138</v>
      </c>
      <c r="R187" s="98">
        <v>146</v>
      </c>
      <c r="S187" s="98">
        <v>153</v>
      </c>
      <c r="T187" s="98">
        <v>146</v>
      </c>
      <c r="U187" s="98">
        <v>141</v>
      </c>
      <c r="V187" s="98">
        <v>138</v>
      </c>
      <c r="W187" s="98">
        <v>124</v>
      </c>
      <c r="X187" s="98">
        <v>123</v>
      </c>
      <c r="Y187" s="98">
        <v>122</v>
      </c>
      <c r="Z187" s="98">
        <v>119</v>
      </c>
      <c r="AA187" s="98">
        <v>112</v>
      </c>
      <c r="AB187" s="98">
        <v>107</v>
      </c>
      <c r="AC187" s="98">
        <v>96</v>
      </c>
      <c r="AD187" s="98">
        <v>86</v>
      </c>
      <c r="AE187" s="98">
        <v>86</v>
      </c>
      <c r="AF187" s="98">
        <v>84</v>
      </c>
      <c r="AG187" s="98">
        <v>90</v>
      </c>
    </row>
    <row r="188" spans="1:33" x14ac:dyDescent="0.3">
      <c r="A188" s="7">
        <v>183</v>
      </c>
      <c r="B188" s="7" t="s">
        <v>575</v>
      </c>
      <c r="C188" s="7" t="s">
        <v>469</v>
      </c>
      <c r="D188" s="8">
        <f>'CDC Source Data'!D50</f>
        <v>157056</v>
      </c>
      <c r="E188" s="8">
        <f>'CDC Source Data'!E50</f>
        <v>36</v>
      </c>
      <c r="F188" s="31">
        <f t="shared" si="2"/>
        <v>22.951103948099906</v>
      </c>
      <c r="G188" s="9">
        <f>'CDC Source Data'!F50</f>
        <v>0.6</v>
      </c>
      <c r="H188" s="7" t="str">
        <f>'CDC Source Data'!G50</f>
        <v>Completeness of provisional 2019 data under 90% after 6 months.</v>
      </c>
      <c r="I188" s="97">
        <v>13.7</v>
      </c>
      <c r="J188" s="97">
        <v>14.3</v>
      </c>
      <c r="K188" s="98">
        <v>13</v>
      </c>
      <c r="L188" s="98">
        <v>14</v>
      </c>
      <c r="M188" s="98">
        <v>16</v>
      </c>
      <c r="N188" s="98">
        <v>16</v>
      </c>
      <c r="O188" s="98">
        <v>22</v>
      </c>
      <c r="P188" s="98">
        <v>28</v>
      </c>
      <c r="Q188" s="98">
        <v>33</v>
      </c>
      <c r="R188" s="98">
        <v>35</v>
      </c>
      <c r="S188" s="98">
        <v>38</v>
      </c>
      <c r="T188" s="98">
        <v>36</v>
      </c>
      <c r="U188" s="98">
        <v>29</v>
      </c>
      <c r="V188" s="98">
        <v>33</v>
      </c>
      <c r="W188" s="98">
        <v>29</v>
      </c>
      <c r="X188" s="98">
        <v>28</v>
      </c>
      <c r="Y188" s="98">
        <v>40</v>
      </c>
      <c r="Z188" s="98">
        <v>43</v>
      </c>
      <c r="AA188" s="98">
        <v>43</v>
      </c>
      <c r="AB188" s="98">
        <v>46</v>
      </c>
      <c r="AC188" s="98">
        <v>36</v>
      </c>
      <c r="AD188" s="98">
        <v>32</v>
      </c>
      <c r="AE188" s="98">
        <v>32</v>
      </c>
      <c r="AF188" s="98">
        <v>34</v>
      </c>
      <c r="AG188" s="98">
        <v>36</v>
      </c>
    </row>
    <row r="189" spans="1:33" x14ac:dyDescent="0.3">
      <c r="A189" s="7">
        <v>184</v>
      </c>
      <c r="B189" s="7" t="s">
        <v>576</v>
      </c>
      <c r="C189" s="7" t="s">
        <v>467</v>
      </c>
      <c r="D189" s="8">
        <f>'CDC Source Data'!D460</f>
        <v>148389</v>
      </c>
      <c r="E189" s="8">
        <f>'CDC Source Data'!E460</f>
        <v>34</v>
      </c>
      <c r="F189" s="31">
        <f t="shared" si="2"/>
        <v>22.921760391198045</v>
      </c>
      <c r="G189" s="9">
        <f>'CDC Source Data'!F460</f>
        <v>1.8</v>
      </c>
      <c r="H189" s="7" t="str">
        <f>'CDC Source Data'!G460</f>
        <v>Completeness of provisional 2019 data under 90% after 6 months.</v>
      </c>
      <c r="I189" s="97">
        <v>30.2</v>
      </c>
      <c r="J189" s="97">
        <v>31.5</v>
      </c>
      <c r="K189" s="98">
        <v>59</v>
      </c>
      <c r="L189" s="98">
        <v>71</v>
      </c>
      <c r="M189" s="98">
        <v>76</v>
      </c>
      <c r="N189" s="98">
        <v>82</v>
      </c>
      <c r="O189" s="98">
        <v>73</v>
      </c>
      <c r="P189" s="98">
        <v>69</v>
      </c>
      <c r="Q189" s="98">
        <v>83</v>
      </c>
      <c r="R189" s="98">
        <v>93</v>
      </c>
      <c r="S189" s="98">
        <v>115</v>
      </c>
      <c r="T189" s="98">
        <v>116</v>
      </c>
      <c r="U189" s="98">
        <v>113</v>
      </c>
      <c r="V189" s="98">
        <v>112</v>
      </c>
      <c r="W189" s="98">
        <v>103</v>
      </c>
      <c r="X189" s="98">
        <v>106</v>
      </c>
      <c r="Y189" s="98">
        <v>90</v>
      </c>
      <c r="Z189" s="98">
        <v>70</v>
      </c>
      <c r="AA189" s="98">
        <v>55</v>
      </c>
      <c r="AB189" s="98">
        <v>35</v>
      </c>
      <c r="AC189" s="98">
        <v>35</v>
      </c>
      <c r="AD189" s="98">
        <v>38</v>
      </c>
      <c r="AE189" s="98">
        <v>41</v>
      </c>
      <c r="AF189" s="98">
        <v>39</v>
      </c>
      <c r="AG189" s="98">
        <v>34</v>
      </c>
    </row>
    <row r="190" spans="1:33" x14ac:dyDescent="0.3">
      <c r="A190" s="7">
        <v>185</v>
      </c>
      <c r="B190" s="7" t="s">
        <v>577</v>
      </c>
      <c r="C190" s="7" t="s">
        <v>35</v>
      </c>
      <c r="D190" s="8">
        <f>'CDC Source Data'!D271</f>
        <v>170614</v>
      </c>
      <c r="E190" s="8">
        <f>'CDC Source Data'!E271</f>
        <v>39</v>
      </c>
      <c r="F190" s="31">
        <f t="shared" si="2"/>
        <v>22.91274959734212</v>
      </c>
      <c r="G190" s="9">
        <f>'CDC Source Data'!F271</f>
        <v>0</v>
      </c>
      <c r="H190" s="7" t="str">
        <f>'CDC Source Data'!G271</f>
        <v>Completeness of provisional 2019 data under 90% after 6 months.</v>
      </c>
      <c r="I190" s="97">
        <v>22.8</v>
      </c>
      <c r="J190" s="97">
        <v>23.8</v>
      </c>
      <c r="K190" s="98">
        <v>31</v>
      </c>
      <c r="L190" s="98">
        <v>44</v>
      </c>
      <c r="M190" s="98">
        <v>58</v>
      </c>
      <c r="N190" s="98">
        <v>62</v>
      </c>
      <c r="O190" s="98">
        <v>73</v>
      </c>
      <c r="P190" s="98">
        <v>65</v>
      </c>
      <c r="Q190" s="98">
        <v>59</v>
      </c>
      <c r="R190" s="98">
        <v>60</v>
      </c>
      <c r="S190" s="98">
        <v>56</v>
      </c>
      <c r="T190" s="98">
        <v>63</v>
      </c>
      <c r="U190" s="98">
        <v>60</v>
      </c>
      <c r="V190" s="98">
        <v>61</v>
      </c>
      <c r="W190" s="98">
        <v>64</v>
      </c>
      <c r="X190" s="98">
        <v>53</v>
      </c>
      <c r="Y190" s="98">
        <v>47</v>
      </c>
      <c r="Z190" s="98">
        <v>43</v>
      </c>
      <c r="AA190" s="98">
        <v>38</v>
      </c>
      <c r="AB190" s="98">
        <v>40</v>
      </c>
      <c r="AC190" s="98">
        <v>43</v>
      </c>
      <c r="AD190" s="98">
        <v>44</v>
      </c>
      <c r="AE190" s="98">
        <v>37</v>
      </c>
      <c r="AF190" s="98">
        <v>40</v>
      </c>
      <c r="AG190" s="98">
        <v>39</v>
      </c>
    </row>
    <row r="191" spans="1:33" x14ac:dyDescent="0.3">
      <c r="A191" s="7">
        <v>186</v>
      </c>
      <c r="B191" s="7" t="s">
        <v>578</v>
      </c>
      <c r="C191" s="7" t="s">
        <v>262</v>
      </c>
      <c r="D191" s="8">
        <f>'CDC Source Data'!D333</f>
        <v>100737</v>
      </c>
      <c r="E191" s="8">
        <f>'CDC Source Data'!E333</f>
        <v>23</v>
      </c>
      <c r="F191" s="31">
        <f t="shared" si="2"/>
        <v>22.858616526193629</v>
      </c>
      <c r="G191" s="9">
        <f>'CDC Source Data'!F333</f>
        <v>0</v>
      </c>
      <c r="H191" s="7">
        <f>'CDC Source Data'!G333</f>
        <v>0</v>
      </c>
      <c r="I191" s="97">
        <v>16.7</v>
      </c>
      <c r="J191" s="97">
        <v>17.399999999999999</v>
      </c>
      <c r="K191" s="98">
        <v>27</v>
      </c>
      <c r="L191" s="98">
        <v>20</v>
      </c>
      <c r="M191" s="98">
        <v>25</v>
      </c>
      <c r="N191" s="98">
        <v>31</v>
      </c>
      <c r="O191" s="98">
        <v>31</v>
      </c>
      <c r="P191" s="98">
        <v>33</v>
      </c>
      <c r="Q191" s="98">
        <v>34</v>
      </c>
      <c r="R191" s="98">
        <v>34</v>
      </c>
      <c r="S191" s="98">
        <v>37</v>
      </c>
      <c r="T191" s="98">
        <v>34</v>
      </c>
      <c r="U191" s="98">
        <v>27</v>
      </c>
      <c r="V191" s="98">
        <v>24</v>
      </c>
      <c r="W191" s="98">
        <v>23</v>
      </c>
      <c r="X191" s="98">
        <v>21</v>
      </c>
      <c r="Y191" s="98">
        <v>25</v>
      </c>
      <c r="Z191" s="98">
        <v>26</v>
      </c>
      <c r="AA191" s="98">
        <v>23</v>
      </c>
      <c r="AB191" s="98">
        <v>21</v>
      </c>
      <c r="AC191" s="98">
        <v>20</v>
      </c>
      <c r="AD191" s="98">
        <v>16</v>
      </c>
      <c r="AE191" s="98">
        <v>15</v>
      </c>
      <c r="AF191" s="98">
        <v>23</v>
      </c>
      <c r="AG191" s="98">
        <v>23</v>
      </c>
    </row>
    <row r="192" spans="1:33" x14ac:dyDescent="0.3">
      <c r="A192" s="7">
        <v>187</v>
      </c>
      <c r="B192" s="7" t="s">
        <v>579</v>
      </c>
      <c r="C192" s="7" t="s">
        <v>262</v>
      </c>
      <c r="D192" s="8">
        <f>'CDC Source Data'!D435</f>
        <v>179630</v>
      </c>
      <c r="E192" s="8">
        <f>'CDC Source Data'!E435</f>
        <v>41</v>
      </c>
      <c r="F192" s="31">
        <f t="shared" si="2"/>
        <v>22.83173014880332</v>
      </c>
      <c r="G192" s="9">
        <f>'CDC Source Data'!F435</f>
        <v>0</v>
      </c>
      <c r="H192" s="7">
        <f>'CDC Source Data'!G435</f>
        <v>0</v>
      </c>
      <c r="I192" s="97">
        <v>21.9</v>
      </c>
      <c r="J192" s="97">
        <v>22.9</v>
      </c>
      <c r="K192" s="98">
        <v>49</v>
      </c>
      <c r="L192" s="98">
        <v>46</v>
      </c>
      <c r="M192" s="98">
        <v>45</v>
      </c>
      <c r="N192" s="98">
        <v>40</v>
      </c>
      <c r="O192" s="98">
        <v>35</v>
      </c>
      <c r="P192" s="98">
        <v>37</v>
      </c>
      <c r="Q192" s="98">
        <v>44</v>
      </c>
      <c r="R192" s="98">
        <v>40</v>
      </c>
      <c r="S192" s="98">
        <v>50</v>
      </c>
      <c r="T192" s="98">
        <v>46</v>
      </c>
      <c r="U192" s="98">
        <v>49</v>
      </c>
      <c r="V192" s="98">
        <v>68</v>
      </c>
      <c r="W192" s="98">
        <v>64</v>
      </c>
      <c r="X192" s="98">
        <v>78</v>
      </c>
      <c r="Y192" s="98">
        <v>72</v>
      </c>
      <c r="Z192" s="98">
        <v>61</v>
      </c>
      <c r="AA192" s="98">
        <v>55</v>
      </c>
      <c r="AB192" s="98">
        <v>42</v>
      </c>
      <c r="AC192" s="98">
        <v>45</v>
      </c>
      <c r="AD192" s="98">
        <v>39</v>
      </c>
      <c r="AE192" s="98">
        <v>42</v>
      </c>
      <c r="AF192" s="98">
        <v>41</v>
      </c>
      <c r="AG192" s="98">
        <v>41</v>
      </c>
    </row>
    <row r="193" spans="1:33" x14ac:dyDescent="0.3">
      <c r="A193" s="7">
        <v>188</v>
      </c>
      <c r="B193" s="7" t="s">
        <v>580</v>
      </c>
      <c r="C193" s="7" t="s">
        <v>572</v>
      </c>
      <c r="D193" s="8">
        <f>'CDC Source Data'!D598</f>
        <v>276118</v>
      </c>
      <c r="E193" s="8">
        <f>'CDC Source Data'!E598</f>
        <v>63</v>
      </c>
      <c r="F193" s="31">
        <f t="shared" si="2"/>
        <v>22.824695206814006</v>
      </c>
      <c r="G193" s="9">
        <f>'CDC Source Data'!F598</f>
        <v>0.48</v>
      </c>
      <c r="H193" s="7" t="str">
        <f>'CDC Source Data'!G598</f>
        <v>Completeness of provisional 2019 data under 90% after 6 months.</v>
      </c>
      <c r="I193" s="97">
        <v>28.8</v>
      </c>
      <c r="J193" s="97">
        <v>30</v>
      </c>
      <c r="K193" s="98">
        <v>60</v>
      </c>
      <c r="L193" s="98">
        <v>54</v>
      </c>
      <c r="M193" s="98">
        <v>62</v>
      </c>
      <c r="N193" s="98">
        <v>65</v>
      </c>
      <c r="O193" s="98">
        <v>67</v>
      </c>
      <c r="P193" s="98">
        <v>78</v>
      </c>
      <c r="Q193" s="98">
        <v>71</v>
      </c>
      <c r="R193" s="98">
        <v>73</v>
      </c>
      <c r="S193" s="98">
        <v>85</v>
      </c>
      <c r="T193" s="98">
        <v>75</v>
      </c>
      <c r="U193" s="98">
        <v>76</v>
      </c>
      <c r="V193" s="98">
        <v>71</v>
      </c>
      <c r="W193" s="98">
        <v>67</v>
      </c>
      <c r="X193" s="98">
        <v>74</v>
      </c>
      <c r="Y193" s="98">
        <v>81</v>
      </c>
      <c r="Z193" s="98">
        <v>81</v>
      </c>
      <c r="AA193" s="98">
        <v>77</v>
      </c>
      <c r="AB193" s="98">
        <v>73</v>
      </c>
      <c r="AC193" s="98">
        <v>66</v>
      </c>
      <c r="AD193" s="98">
        <v>60</v>
      </c>
      <c r="AE193" s="98">
        <v>66</v>
      </c>
      <c r="AF193" s="98">
        <v>60</v>
      </c>
      <c r="AG193" s="98">
        <v>63</v>
      </c>
    </row>
    <row r="194" spans="1:33" x14ac:dyDescent="0.3">
      <c r="A194" s="7">
        <v>189</v>
      </c>
      <c r="B194" s="7" t="s">
        <v>581</v>
      </c>
      <c r="C194" s="7" t="s">
        <v>32</v>
      </c>
      <c r="D194" s="8">
        <f>'CDC Source Data'!D179</f>
        <v>950602</v>
      </c>
      <c r="E194" s="8">
        <f>'CDC Source Data'!E179</f>
        <v>215</v>
      </c>
      <c r="F194" s="31">
        <f t="shared" si="2"/>
        <v>22.816332147849831</v>
      </c>
      <c r="G194" s="9">
        <f>'CDC Source Data'!F179</f>
        <v>0.12</v>
      </c>
      <c r="H194" s="7" t="str">
        <f>'CDC Source Data'!G179</f>
        <v>Completeness of provisional 2019 data under 90% after 6 months.</v>
      </c>
      <c r="I194" s="97">
        <v>20.2</v>
      </c>
      <c r="J194" s="97">
        <v>21.1</v>
      </c>
      <c r="K194" s="98">
        <v>214</v>
      </c>
      <c r="L194" s="98">
        <v>247</v>
      </c>
      <c r="M194" s="98">
        <v>282</v>
      </c>
      <c r="N194" s="98">
        <v>288</v>
      </c>
      <c r="O194" s="98">
        <v>310</v>
      </c>
      <c r="P194" s="98">
        <v>293</v>
      </c>
      <c r="Q194" s="98">
        <v>296</v>
      </c>
      <c r="R194" s="98">
        <v>317</v>
      </c>
      <c r="S194" s="98">
        <v>303</v>
      </c>
      <c r="T194" s="98">
        <v>337</v>
      </c>
      <c r="U194" s="98">
        <v>342</v>
      </c>
      <c r="V194" s="98">
        <v>358</v>
      </c>
      <c r="W194" s="98">
        <v>386</v>
      </c>
      <c r="X194" s="98">
        <v>397</v>
      </c>
      <c r="Y194" s="98">
        <v>402</v>
      </c>
      <c r="Z194" s="98">
        <v>400</v>
      </c>
      <c r="AA194" s="98">
        <v>401</v>
      </c>
      <c r="AB194" s="98">
        <v>388</v>
      </c>
      <c r="AC194" s="98">
        <v>370</v>
      </c>
      <c r="AD194" s="98">
        <v>323</v>
      </c>
      <c r="AE194" s="98">
        <v>277</v>
      </c>
      <c r="AF194" s="98">
        <v>242</v>
      </c>
      <c r="AG194" s="98">
        <v>215</v>
      </c>
    </row>
    <row r="195" spans="1:33" x14ac:dyDescent="0.3">
      <c r="A195" s="7">
        <v>190</v>
      </c>
      <c r="B195" s="7" t="s">
        <v>582</v>
      </c>
      <c r="C195" s="7" t="s">
        <v>455</v>
      </c>
      <c r="D195" s="8">
        <f>'CDC Source Data'!D282</f>
        <v>128461</v>
      </c>
      <c r="E195" s="8">
        <f>'CDC Source Data'!E282</f>
        <v>29</v>
      </c>
      <c r="F195" s="31">
        <f t="shared" si="2"/>
        <v>22.617246755214065</v>
      </c>
      <c r="G195" s="9">
        <f>'CDC Source Data'!F282</f>
        <v>0.06</v>
      </c>
      <c r="H195" s="7">
        <f>'CDC Source Data'!G282</f>
        <v>0</v>
      </c>
      <c r="I195" s="97">
        <v>27.9</v>
      </c>
      <c r="J195" s="97">
        <v>29.1</v>
      </c>
      <c r="K195" s="98">
        <v>48</v>
      </c>
      <c r="L195" s="98">
        <v>42</v>
      </c>
      <c r="M195" s="98">
        <v>51</v>
      </c>
      <c r="N195" s="98">
        <v>47</v>
      </c>
      <c r="O195" s="98">
        <v>49</v>
      </c>
      <c r="P195" s="98">
        <v>62</v>
      </c>
      <c r="Q195" s="98">
        <v>60</v>
      </c>
      <c r="R195" s="98">
        <v>62</v>
      </c>
      <c r="S195" s="98">
        <v>59</v>
      </c>
      <c r="T195" s="98">
        <v>49</v>
      </c>
      <c r="U195" s="98">
        <v>57</v>
      </c>
      <c r="V195" s="98">
        <v>56</v>
      </c>
      <c r="W195" s="98">
        <v>65</v>
      </c>
      <c r="X195" s="98">
        <v>67</v>
      </c>
      <c r="Y195" s="98">
        <v>55</v>
      </c>
      <c r="Z195" s="98">
        <v>57</v>
      </c>
      <c r="AA195" s="98">
        <v>55</v>
      </c>
      <c r="AB195" s="98">
        <v>48</v>
      </c>
      <c r="AC195" s="98">
        <v>50</v>
      </c>
      <c r="AD195" s="98">
        <v>47</v>
      </c>
      <c r="AE195" s="98">
        <v>35</v>
      </c>
      <c r="AF195" s="98">
        <v>40</v>
      </c>
      <c r="AG195" s="98">
        <v>29</v>
      </c>
    </row>
    <row r="196" spans="1:33" x14ac:dyDescent="0.3">
      <c r="A196" s="7">
        <v>191</v>
      </c>
      <c r="B196" s="7" t="s">
        <v>583</v>
      </c>
      <c r="C196" s="7" t="s">
        <v>11</v>
      </c>
      <c r="D196" s="8">
        <f>'CDC Source Data'!D606</f>
        <v>106329</v>
      </c>
      <c r="E196" s="8">
        <f>'CDC Source Data'!E606</f>
        <v>24</v>
      </c>
      <c r="F196" s="31">
        <f t="shared" si="2"/>
        <v>22.574944924918846</v>
      </c>
      <c r="G196" s="9">
        <f>'CDC Source Data'!F606</f>
        <v>0.28000000000000003</v>
      </c>
      <c r="H196" s="7">
        <f>'CDC Source Data'!G606</f>
        <v>0</v>
      </c>
      <c r="I196" s="97">
        <v>25.8</v>
      </c>
      <c r="J196" s="97">
        <v>26.9</v>
      </c>
      <c r="K196" s="98">
        <v>35</v>
      </c>
      <c r="L196" s="98">
        <v>36</v>
      </c>
      <c r="M196" s="98">
        <v>40</v>
      </c>
      <c r="N196" s="98">
        <v>46</v>
      </c>
      <c r="O196" s="98">
        <v>50</v>
      </c>
      <c r="P196" s="98">
        <v>48</v>
      </c>
      <c r="Q196" s="98">
        <v>42</v>
      </c>
      <c r="R196" s="98">
        <v>40</v>
      </c>
      <c r="S196" s="98">
        <v>34</v>
      </c>
      <c r="T196" s="98">
        <v>38</v>
      </c>
      <c r="U196" s="98">
        <v>34</v>
      </c>
      <c r="V196" s="98">
        <v>32</v>
      </c>
      <c r="W196" s="98">
        <v>33</v>
      </c>
      <c r="X196" s="98">
        <v>34</v>
      </c>
      <c r="Y196" s="98">
        <v>43</v>
      </c>
      <c r="Z196" s="98">
        <v>47</v>
      </c>
      <c r="AA196" s="98">
        <v>54</v>
      </c>
      <c r="AB196" s="98">
        <v>47</v>
      </c>
      <c r="AC196" s="98">
        <v>42</v>
      </c>
      <c r="AD196" s="98">
        <v>38</v>
      </c>
      <c r="AE196" s="98">
        <v>30</v>
      </c>
      <c r="AF196" s="98">
        <v>27</v>
      </c>
      <c r="AG196" s="98">
        <v>24</v>
      </c>
    </row>
    <row r="197" spans="1:33" x14ac:dyDescent="0.3">
      <c r="A197" s="7">
        <v>192</v>
      </c>
      <c r="B197" s="7" t="s">
        <v>584</v>
      </c>
      <c r="C197" s="7" t="s">
        <v>467</v>
      </c>
      <c r="D197" s="8">
        <f>'CDC Source Data'!D70</f>
        <v>279210</v>
      </c>
      <c r="E197" s="8">
        <f>'CDC Source Data'!E70</f>
        <v>63</v>
      </c>
      <c r="F197" s="31">
        <f t="shared" si="2"/>
        <v>22.571452755127954</v>
      </c>
      <c r="G197" s="9">
        <f>'CDC Source Data'!F70</f>
        <v>0.79</v>
      </c>
      <c r="H197" s="7" t="str">
        <f>'CDC Source Data'!G70</f>
        <v>Completeness of provisional 2019 data under 90% after 6 months.</v>
      </c>
      <c r="I197" s="97">
        <v>27.6</v>
      </c>
      <c r="J197" s="97">
        <v>28.8</v>
      </c>
      <c r="K197" s="98">
        <v>105</v>
      </c>
      <c r="L197" s="98">
        <v>108</v>
      </c>
      <c r="M197" s="98">
        <v>99</v>
      </c>
      <c r="N197" s="98">
        <v>106</v>
      </c>
      <c r="O197" s="98">
        <v>112</v>
      </c>
      <c r="P197" s="98">
        <v>111</v>
      </c>
      <c r="Q197" s="98">
        <v>123</v>
      </c>
      <c r="R197" s="98">
        <v>122</v>
      </c>
      <c r="S197" s="98">
        <v>131</v>
      </c>
      <c r="T197" s="98">
        <v>138</v>
      </c>
      <c r="U197" s="98">
        <v>141</v>
      </c>
      <c r="V197" s="98">
        <v>148</v>
      </c>
      <c r="W197" s="98">
        <v>153</v>
      </c>
      <c r="X197" s="98">
        <v>150</v>
      </c>
      <c r="Y197" s="98">
        <v>134</v>
      </c>
      <c r="Z197" s="98">
        <v>129</v>
      </c>
      <c r="AA197" s="98">
        <v>119</v>
      </c>
      <c r="AB197" s="98">
        <v>118</v>
      </c>
      <c r="AC197" s="98">
        <v>112</v>
      </c>
      <c r="AD197" s="98">
        <v>96</v>
      </c>
      <c r="AE197" s="98">
        <v>83</v>
      </c>
      <c r="AF197" s="98">
        <v>74</v>
      </c>
      <c r="AG197" s="98">
        <v>63</v>
      </c>
    </row>
    <row r="198" spans="1:33" x14ac:dyDescent="0.3">
      <c r="A198" s="7">
        <v>193</v>
      </c>
      <c r="B198" s="7" t="s">
        <v>585</v>
      </c>
      <c r="C198" s="7" t="s">
        <v>480</v>
      </c>
      <c r="D198" s="8">
        <f>'CDC Source Data'!D391</f>
        <v>177428</v>
      </c>
      <c r="E198" s="8">
        <f>'CDC Source Data'!E391</f>
        <v>40</v>
      </c>
      <c r="F198" s="31">
        <f t="shared" ref="F198:F261" si="3">IFERROR(E197/D197*100000,"")</f>
        <v>22.563661759965619</v>
      </c>
      <c r="G198" s="9">
        <f>'CDC Source Data'!F391</f>
        <v>0.26</v>
      </c>
      <c r="H198" s="7" t="str">
        <f>'CDC Source Data'!G391</f>
        <v>Completeness of provisional 2019 data under 90% after 6 months.</v>
      </c>
      <c r="I198" s="97">
        <v>26.3</v>
      </c>
      <c r="J198" s="97">
        <v>27.4</v>
      </c>
      <c r="K198" s="98">
        <v>56</v>
      </c>
      <c r="L198" s="98">
        <v>64</v>
      </c>
      <c r="M198" s="98">
        <v>67</v>
      </c>
      <c r="N198" s="98">
        <v>54</v>
      </c>
      <c r="O198" s="98">
        <v>61</v>
      </c>
      <c r="P198" s="98">
        <v>57</v>
      </c>
      <c r="Q198" s="98">
        <v>53</v>
      </c>
      <c r="R198" s="98">
        <v>68</v>
      </c>
      <c r="S198" s="98">
        <v>70</v>
      </c>
      <c r="T198" s="98">
        <v>72</v>
      </c>
      <c r="U198" s="98">
        <v>78</v>
      </c>
      <c r="V198" s="98">
        <v>69</v>
      </c>
      <c r="W198" s="98">
        <v>75</v>
      </c>
      <c r="X198" s="98">
        <v>72</v>
      </c>
      <c r="Y198" s="98">
        <v>73</v>
      </c>
      <c r="Z198" s="98">
        <v>71</v>
      </c>
      <c r="AA198" s="98">
        <v>65</v>
      </c>
      <c r="AB198" s="98">
        <v>61</v>
      </c>
      <c r="AC198" s="98">
        <v>55</v>
      </c>
      <c r="AD198" s="98">
        <v>52</v>
      </c>
      <c r="AE198" s="98">
        <v>41</v>
      </c>
      <c r="AF198" s="98">
        <v>36</v>
      </c>
      <c r="AG198" s="98">
        <v>40</v>
      </c>
    </row>
    <row r="199" spans="1:33" x14ac:dyDescent="0.3">
      <c r="A199" s="7">
        <v>194</v>
      </c>
      <c r="B199" s="7" t="s">
        <v>586</v>
      </c>
      <c r="C199" s="7" t="s">
        <v>50</v>
      </c>
      <c r="D199" s="8">
        <f>'CDC Source Data'!D430</f>
        <v>659114</v>
      </c>
      <c r="E199" s="8">
        <f>'CDC Source Data'!E430</f>
        <v>148</v>
      </c>
      <c r="F199" s="31">
        <f t="shared" si="3"/>
        <v>22.544356020470275</v>
      </c>
      <c r="G199" s="9">
        <f>'CDC Source Data'!F430</f>
        <v>0.01</v>
      </c>
      <c r="H199" s="7">
        <f>'CDC Source Data'!G430</f>
        <v>0</v>
      </c>
      <c r="I199" s="97">
        <v>38</v>
      </c>
      <c r="J199" s="97">
        <v>39.700000000000003</v>
      </c>
      <c r="K199" s="98">
        <v>231</v>
      </c>
      <c r="L199" s="98">
        <v>264</v>
      </c>
      <c r="M199" s="98">
        <v>282</v>
      </c>
      <c r="N199" s="98">
        <v>295</v>
      </c>
      <c r="O199" s="98">
        <v>282</v>
      </c>
      <c r="P199" s="98">
        <v>290</v>
      </c>
      <c r="Q199" s="98">
        <v>289</v>
      </c>
      <c r="R199" s="98">
        <v>295</v>
      </c>
      <c r="S199" s="98">
        <v>328</v>
      </c>
      <c r="T199" s="98">
        <v>307</v>
      </c>
      <c r="U199" s="98">
        <v>327</v>
      </c>
      <c r="V199" s="98">
        <v>334</v>
      </c>
      <c r="W199" s="98">
        <v>321</v>
      </c>
      <c r="X199" s="98">
        <v>334</v>
      </c>
      <c r="Y199" s="98">
        <v>326</v>
      </c>
      <c r="Z199" s="98">
        <v>319</v>
      </c>
      <c r="AA199" s="98">
        <v>293</v>
      </c>
      <c r="AB199" s="98">
        <v>277</v>
      </c>
      <c r="AC199" s="98">
        <v>240</v>
      </c>
      <c r="AD199" s="98">
        <v>202</v>
      </c>
      <c r="AE199" s="98">
        <v>176</v>
      </c>
      <c r="AF199" s="98">
        <v>152</v>
      </c>
      <c r="AG199" s="98">
        <v>148</v>
      </c>
    </row>
    <row r="200" spans="1:33" x14ac:dyDescent="0.3">
      <c r="A200" s="7">
        <v>195</v>
      </c>
      <c r="B200" s="7" t="s">
        <v>587</v>
      </c>
      <c r="C200" s="7" t="s">
        <v>588</v>
      </c>
      <c r="D200" s="8">
        <f>'CDC Source Data'!D455</f>
        <v>401209</v>
      </c>
      <c r="E200" s="8">
        <f>'CDC Source Data'!E455</f>
        <v>90</v>
      </c>
      <c r="F200" s="31">
        <f t="shared" si="3"/>
        <v>22.454385736003179</v>
      </c>
      <c r="G200" s="9">
        <f>'CDC Source Data'!F455</f>
        <v>0.19</v>
      </c>
      <c r="H200" s="7" t="str">
        <f>'CDC Source Data'!G455</f>
        <v>Completeness of provisional 2019 data under 90% after 6 months.</v>
      </c>
      <c r="I200" s="97">
        <v>19.2</v>
      </c>
      <c r="J200" s="97">
        <v>20.100000000000001</v>
      </c>
      <c r="K200" s="98">
        <v>80</v>
      </c>
      <c r="L200" s="98">
        <v>95</v>
      </c>
      <c r="M200" s="98">
        <v>99</v>
      </c>
      <c r="N200" s="98">
        <v>108</v>
      </c>
      <c r="O200" s="98">
        <v>114</v>
      </c>
      <c r="P200" s="98">
        <v>115</v>
      </c>
      <c r="Q200" s="98">
        <v>132</v>
      </c>
      <c r="R200" s="98">
        <v>138</v>
      </c>
      <c r="S200" s="98">
        <v>141</v>
      </c>
      <c r="T200" s="98">
        <v>137</v>
      </c>
      <c r="U200" s="98">
        <v>137</v>
      </c>
      <c r="V200" s="98">
        <v>138</v>
      </c>
      <c r="W200" s="98">
        <v>113</v>
      </c>
      <c r="X200" s="98">
        <v>108</v>
      </c>
      <c r="Y200" s="98">
        <v>105</v>
      </c>
      <c r="Z200" s="98">
        <v>94</v>
      </c>
      <c r="AA200" s="98">
        <v>99</v>
      </c>
      <c r="AB200" s="98">
        <v>90</v>
      </c>
      <c r="AC200" s="98">
        <v>78</v>
      </c>
      <c r="AD200" s="98">
        <v>75</v>
      </c>
      <c r="AE200" s="98">
        <v>76</v>
      </c>
      <c r="AF200" s="98">
        <v>84</v>
      </c>
      <c r="AG200" s="98">
        <v>90</v>
      </c>
    </row>
    <row r="201" spans="1:33" x14ac:dyDescent="0.3">
      <c r="A201" s="7">
        <v>196</v>
      </c>
      <c r="B201" s="7" t="s">
        <v>589</v>
      </c>
      <c r="C201" s="7" t="s">
        <v>590</v>
      </c>
      <c r="D201" s="8">
        <f>'CDC Source Data'!D542</f>
        <v>134202</v>
      </c>
      <c r="E201" s="8">
        <f>'CDC Source Data'!E542</f>
        <v>30</v>
      </c>
      <c r="F201" s="31">
        <f t="shared" si="3"/>
        <v>22.432198679491236</v>
      </c>
      <c r="G201" s="9">
        <f>'CDC Source Data'!F542</f>
        <v>0.15</v>
      </c>
      <c r="H201" s="7" t="str">
        <f>'CDC Source Data'!G542</f>
        <v>Completeness of provisional 2019 data under 90% after 6 months.</v>
      </c>
      <c r="I201" s="97">
        <v>30.7</v>
      </c>
      <c r="J201" s="97">
        <v>32.1</v>
      </c>
      <c r="K201" s="98">
        <v>58</v>
      </c>
      <c r="L201" s="98">
        <v>58</v>
      </c>
      <c r="M201" s="98">
        <v>57</v>
      </c>
      <c r="N201" s="98">
        <v>51</v>
      </c>
      <c r="O201" s="98">
        <v>46</v>
      </c>
      <c r="P201" s="98">
        <v>44</v>
      </c>
      <c r="Q201" s="98">
        <v>52</v>
      </c>
      <c r="R201" s="98">
        <v>62</v>
      </c>
      <c r="S201" s="98">
        <v>66</v>
      </c>
      <c r="T201" s="98">
        <v>67</v>
      </c>
      <c r="U201" s="98">
        <v>64</v>
      </c>
      <c r="V201" s="98">
        <v>55</v>
      </c>
      <c r="W201" s="98">
        <v>50</v>
      </c>
      <c r="X201" s="98">
        <v>47</v>
      </c>
      <c r="Y201" s="98">
        <v>46</v>
      </c>
      <c r="Z201" s="98">
        <v>40</v>
      </c>
      <c r="AA201" s="98">
        <v>42</v>
      </c>
      <c r="AB201" s="98">
        <v>37</v>
      </c>
      <c r="AC201" s="98">
        <v>32</v>
      </c>
      <c r="AD201" s="98">
        <v>31</v>
      </c>
      <c r="AE201" s="98">
        <v>29</v>
      </c>
      <c r="AF201" s="98">
        <v>33</v>
      </c>
      <c r="AG201" s="98">
        <v>30</v>
      </c>
    </row>
    <row r="202" spans="1:33" x14ac:dyDescent="0.3">
      <c r="A202" s="7">
        <v>197</v>
      </c>
      <c r="B202" s="7" t="s">
        <v>591</v>
      </c>
      <c r="C202" s="7" t="s">
        <v>463</v>
      </c>
      <c r="D202" s="8">
        <f>'CDC Source Data'!D371</f>
        <v>412339</v>
      </c>
      <c r="E202" s="8">
        <f>'CDC Source Data'!E371</f>
        <v>92</v>
      </c>
      <c r="F202" s="31">
        <f t="shared" si="3"/>
        <v>22.354361335896634</v>
      </c>
      <c r="G202" s="9">
        <f>'CDC Source Data'!F371</f>
        <v>0.1</v>
      </c>
      <c r="H202" s="7">
        <f>'CDC Source Data'!G371</f>
        <v>0</v>
      </c>
      <c r="I202" s="97">
        <v>18.100000000000001</v>
      </c>
      <c r="J202" s="97">
        <v>18.899999999999999</v>
      </c>
      <c r="K202" s="98">
        <v>67</v>
      </c>
      <c r="L202" s="98">
        <v>72</v>
      </c>
      <c r="M202" s="98">
        <v>87</v>
      </c>
      <c r="N202" s="98">
        <v>95</v>
      </c>
      <c r="O202" s="98">
        <v>97</v>
      </c>
      <c r="P202" s="98">
        <v>99</v>
      </c>
      <c r="Q202" s="98">
        <v>104</v>
      </c>
      <c r="R202" s="98">
        <v>116</v>
      </c>
      <c r="S202" s="98">
        <v>109</v>
      </c>
      <c r="T202" s="98">
        <v>119</v>
      </c>
      <c r="U202" s="98">
        <v>123</v>
      </c>
      <c r="V202" s="98">
        <v>120</v>
      </c>
      <c r="W202" s="98">
        <v>130</v>
      </c>
      <c r="X202" s="98">
        <v>127</v>
      </c>
      <c r="Y202" s="98">
        <v>128</v>
      </c>
      <c r="Z202" s="98">
        <v>132</v>
      </c>
      <c r="AA202" s="98">
        <v>124</v>
      </c>
      <c r="AB202" s="98">
        <v>126</v>
      </c>
      <c r="AC202" s="98">
        <v>121</v>
      </c>
      <c r="AD202" s="98">
        <v>112</v>
      </c>
      <c r="AE202" s="98">
        <v>109</v>
      </c>
      <c r="AF202" s="98">
        <v>106</v>
      </c>
      <c r="AG202" s="98">
        <v>92</v>
      </c>
    </row>
    <row r="203" spans="1:33" x14ac:dyDescent="0.3">
      <c r="A203" s="7">
        <v>198</v>
      </c>
      <c r="B203" s="7" t="s">
        <v>540</v>
      </c>
      <c r="C203" s="7" t="s">
        <v>455</v>
      </c>
      <c r="D203" s="8">
        <f>'CDC Source Data'!D137</f>
        <v>313809</v>
      </c>
      <c r="E203" s="8">
        <f>'CDC Source Data'!E137</f>
        <v>70</v>
      </c>
      <c r="F203" s="31">
        <f t="shared" si="3"/>
        <v>22.311738642233696</v>
      </c>
      <c r="G203" s="9">
        <f>'CDC Source Data'!F137</f>
        <v>0</v>
      </c>
      <c r="H203" s="7">
        <f>'CDC Source Data'!G137</f>
        <v>0</v>
      </c>
      <c r="I203" s="97">
        <v>23.9</v>
      </c>
      <c r="J203" s="97">
        <v>24.9</v>
      </c>
      <c r="K203" s="98">
        <v>90</v>
      </c>
      <c r="L203" s="98">
        <v>88</v>
      </c>
      <c r="M203" s="98">
        <v>78</v>
      </c>
      <c r="N203" s="98">
        <v>91</v>
      </c>
      <c r="O203" s="98">
        <v>94</v>
      </c>
      <c r="P203" s="98">
        <v>95</v>
      </c>
      <c r="Q203" s="98">
        <v>105</v>
      </c>
      <c r="R203" s="98">
        <v>103</v>
      </c>
      <c r="S203" s="98">
        <v>104</v>
      </c>
      <c r="T203" s="98">
        <v>115</v>
      </c>
      <c r="U203" s="98">
        <v>122</v>
      </c>
      <c r="V203" s="98">
        <v>120</v>
      </c>
      <c r="W203" s="98">
        <v>127</v>
      </c>
      <c r="X203" s="98">
        <v>127</v>
      </c>
      <c r="Y203" s="98">
        <v>121</v>
      </c>
      <c r="Z203" s="98">
        <v>124</v>
      </c>
      <c r="AA203" s="98">
        <v>115</v>
      </c>
      <c r="AB203" s="98">
        <v>111</v>
      </c>
      <c r="AC203" s="98">
        <v>98</v>
      </c>
      <c r="AD203" s="98">
        <v>88</v>
      </c>
      <c r="AE203" s="98">
        <v>79</v>
      </c>
      <c r="AF203" s="98">
        <v>65</v>
      </c>
      <c r="AG203" s="98">
        <v>70</v>
      </c>
    </row>
    <row r="204" spans="1:33" x14ac:dyDescent="0.3">
      <c r="A204" s="7">
        <v>199</v>
      </c>
      <c r="B204" s="7" t="s">
        <v>461</v>
      </c>
      <c r="C204" s="7" t="s">
        <v>447</v>
      </c>
      <c r="D204" s="8">
        <f>'CDC Source Data'!D109</f>
        <v>134985</v>
      </c>
      <c r="E204" s="8">
        <f>'CDC Source Data'!E109</f>
        <v>30</v>
      </c>
      <c r="F204" s="31">
        <f t="shared" si="3"/>
        <v>22.306562271955237</v>
      </c>
      <c r="G204" s="9">
        <f>'CDC Source Data'!F109</f>
        <v>0</v>
      </c>
      <c r="H204" s="7">
        <f>'CDC Source Data'!G109</f>
        <v>0</v>
      </c>
      <c r="I204" s="97">
        <v>41.5</v>
      </c>
      <c r="J204" s="97">
        <v>43.3</v>
      </c>
      <c r="K204" s="98">
        <v>55</v>
      </c>
      <c r="L204" s="98">
        <v>66</v>
      </c>
      <c r="M204" s="98">
        <v>64</v>
      </c>
      <c r="N204" s="98">
        <v>59</v>
      </c>
      <c r="O204" s="98">
        <v>69</v>
      </c>
      <c r="P204" s="98">
        <v>70</v>
      </c>
      <c r="Q204" s="98">
        <v>84</v>
      </c>
      <c r="R204" s="98">
        <v>86</v>
      </c>
      <c r="S204" s="98">
        <v>81</v>
      </c>
      <c r="T204" s="98">
        <v>71</v>
      </c>
      <c r="U204" s="98">
        <v>72</v>
      </c>
      <c r="V204" s="98">
        <v>72</v>
      </c>
      <c r="W204" s="98">
        <v>74</v>
      </c>
      <c r="X204" s="98">
        <v>75</v>
      </c>
      <c r="Y204" s="98">
        <v>60</v>
      </c>
      <c r="Z204" s="98">
        <v>59</v>
      </c>
      <c r="AA204" s="98">
        <v>48</v>
      </c>
      <c r="AB204" s="98">
        <v>41</v>
      </c>
      <c r="AC204" s="98">
        <v>39</v>
      </c>
      <c r="AD204" s="98">
        <v>27</v>
      </c>
      <c r="AE204" s="98">
        <v>28</v>
      </c>
      <c r="AF204" s="98">
        <v>28</v>
      </c>
      <c r="AG204" s="98">
        <v>30</v>
      </c>
    </row>
    <row r="205" spans="1:33" x14ac:dyDescent="0.3">
      <c r="A205" s="7">
        <v>200</v>
      </c>
      <c r="B205" s="7" t="s">
        <v>592</v>
      </c>
      <c r="C205" s="7" t="s">
        <v>15</v>
      </c>
      <c r="D205" s="8">
        <f>'CDC Source Data'!D572</f>
        <v>835427</v>
      </c>
      <c r="E205" s="8">
        <f>'CDC Source Data'!E572</f>
        <v>185</v>
      </c>
      <c r="F205" s="31">
        <f t="shared" si="3"/>
        <v>22.224691632403601</v>
      </c>
      <c r="G205" s="9">
        <f>'CDC Source Data'!F572</f>
        <v>0.06</v>
      </c>
      <c r="H205" s="7">
        <f>'CDC Source Data'!G572</f>
        <v>0</v>
      </c>
      <c r="I205" s="97">
        <v>18.3</v>
      </c>
      <c r="J205" s="97">
        <v>19.100000000000001</v>
      </c>
      <c r="K205" s="98">
        <v>128</v>
      </c>
      <c r="L205" s="98">
        <v>139</v>
      </c>
      <c r="M205" s="98">
        <v>170</v>
      </c>
      <c r="N205" s="98">
        <v>190</v>
      </c>
      <c r="O205" s="98">
        <v>212</v>
      </c>
      <c r="P205" s="98">
        <v>240</v>
      </c>
      <c r="Q205" s="98">
        <v>244</v>
      </c>
      <c r="R205" s="98">
        <v>264</v>
      </c>
      <c r="S205" s="98">
        <v>273</v>
      </c>
      <c r="T205" s="98">
        <v>266</v>
      </c>
      <c r="U205" s="98">
        <v>255</v>
      </c>
      <c r="V205" s="98">
        <v>247</v>
      </c>
      <c r="W205" s="98">
        <v>256</v>
      </c>
      <c r="X205" s="98">
        <v>271</v>
      </c>
      <c r="Y205" s="98">
        <v>275</v>
      </c>
      <c r="Z205" s="98">
        <v>266</v>
      </c>
      <c r="AA205" s="98">
        <v>242</v>
      </c>
      <c r="AB205" s="98">
        <v>212</v>
      </c>
      <c r="AC205" s="98">
        <v>184</v>
      </c>
      <c r="AD205" s="98">
        <v>170</v>
      </c>
      <c r="AE205" s="98">
        <v>166</v>
      </c>
      <c r="AF205" s="98">
        <v>172</v>
      </c>
      <c r="AG205" s="98">
        <v>185</v>
      </c>
    </row>
    <row r="206" spans="1:33" x14ac:dyDescent="0.3">
      <c r="A206" s="7">
        <v>201</v>
      </c>
      <c r="B206" s="7" t="s">
        <v>464</v>
      </c>
      <c r="C206" s="7" t="s">
        <v>572</v>
      </c>
      <c r="D206" s="8">
        <f>'CDC Source Data'!D589</f>
        <v>207943</v>
      </c>
      <c r="E206" s="8">
        <f>'CDC Source Data'!E589</f>
        <v>46</v>
      </c>
      <c r="F206" s="31">
        <f t="shared" si="3"/>
        <v>22.144364498633632</v>
      </c>
      <c r="G206" s="9">
        <f>'CDC Source Data'!F589</f>
        <v>0.15</v>
      </c>
      <c r="H206" s="7">
        <f>'CDC Source Data'!G589</f>
        <v>0</v>
      </c>
      <c r="I206" s="97">
        <v>21.4</v>
      </c>
      <c r="J206" s="97">
        <v>22.4</v>
      </c>
      <c r="K206" s="98">
        <v>24</v>
      </c>
      <c r="L206" s="98">
        <v>34</v>
      </c>
      <c r="M206" s="98">
        <v>35</v>
      </c>
      <c r="N206" s="98">
        <v>37</v>
      </c>
      <c r="O206" s="98">
        <v>42</v>
      </c>
      <c r="P206" s="98">
        <v>35</v>
      </c>
      <c r="Q206" s="98">
        <v>40</v>
      </c>
      <c r="R206" s="98">
        <v>39</v>
      </c>
      <c r="S206" s="98">
        <v>39</v>
      </c>
      <c r="T206" s="98">
        <v>38</v>
      </c>
      <c r="U206" s="98">
        <v>35</v>
      </c>
      <c r="V206" s="98">
        <v>34</v>
      </c>
      <c r="W206" s="98">
        <v>35</v>
      </c>
      <c r="X206" s="98">
        <v>37</v>
      </c>
      <c r="Y206" s="98">
        <v>36</v>
      </c>
      <c r="Z206" s="98">
        <v>41</v>
      </c>
      <c r="AA206" s="98">
        <v>43</v>
      </c>
      <c r="AB206" s="98">
        <v>44</v>
      </c>
      <c r="AC206" s="98">
        <v>43</v>
      </c>
      <c r="AD206" s="98">
        <v>48</v>
      </c>
      <c r="AE206" s="98">
        <v>42</v>
      </c>
      <c r="AF206" s="98">
        <v>41</v>
      </c>
      <c r="AG206" s="98">
        <v>46</v>
      </c>
    </row>
    <row r="207" spans="1:33" x14ac:dyDescent="0.3">
      <c r="A207" s="7">
        <v>202</v>
      </c>
      <c r="B207" s="7" t="s">
        <v>593</v>
      </c>
      <c r="C207" s="7" t="s">
        <v>467</v>
      </c>
      <c r="D207" s="8">
        <f>'CDC Source Data'!D196</f>
        <v>398143</v>
      </c>
      <c r="E207" s="8">
        <f>'CDC Source Data'!E196</f>
        <v>88</v>
      </c>
      <c r="F207" s="31">
        <f t="shared" si="3"/>
        <v>22.121446742616968</v>
      </c>
      <c r="G207" s="9">
        <f>'CDC Source Data'!F196</f>
        <v>0.23</v>
      </c>
      <c r="H207" s="7" t="str">
        <f>'CDC Source Data'!G196</f>
        <v>Completeness of provisional 2019 data under 90% after 6 months.</v>
      </c>
      <c r="I207" s="97">
        <v>22.2</v>
      </c>
      <c r="J207" s="97">
        <v>23.1</v>
      </c>
      <c r="K207" s="98">
        <v>106</v>
      </c>
      <c r="L207" s="98">
        <v>117</v>
      </c>
      <c r="M207" s="98">
        <v>120</v>
      </c>
      <c r="N207" s="98">
        <v>127</v>
      </c>
      <c r="O207" s="98">
        <v>131</v>
      </c>
      <c r="P207" s="98">
        <v>123</v>
      </c>
      <c r="Q207" s="98">
        <v>131</v>
      </c>
      <c r="R207" s="98">
        <v>146</v>
      </c>
      <c r="S207" s="98">
        <v>165</v>
      </c>
      <c r="T207" s="98">
        <v>182</v>
      </c>
      <c r="U207" s="98">
        <v>184</v>
      </c>
      <c r="V207" s="98">
        <v>187</v>
      </c>
      <c r="W207" s="98">
        <v>176</v>
      </c>
      <c r="X207" s="98">
        <v>168</v>
      </c>
      <c r="Y207" s="98">
        <v>164</v>
      </c>
      <c r="Z207" s="98">
        <v>152</v>
      </c>
      <c r="AA207" s="98">
        <v>151</v>
      </c>
      <c r="AB207" s="98">
        <v>130</v>
      </c>
      <c r="AC207" s="98">
        <v>114</v>
      </c>
      <c r="AD207" s="98">
        <v>97</v>
      </c>
      <c r="AE207" s="98">
        <v>83</v>
      </c>
      <c r="AF207" s="98">
        <v>91</v>
      </c>
      <c r="AG207" s="98">
        <v>88</v>
      </c>
    </row>
    <row r="208" spans="1:33" x14ac:dyDescent="0.3">
      <c r="A208" s="7">
        <v>203</v>
      </c>
      <c r="B208" s="7" t="s">
        <v>594</v>
      </c>
      <c r="C208" s="7" t="s">
        <v>253</v>
      </c>
      <c r="D208" s="8">
        <f>'CDC Source Data'!D374</f>
        <v>108697</v>
      </c>
      <c r="E208" s="8">
        <f>'CDC Source Data'!E374</f>
        <v>24</v>
      </c>
      <c r="F208" s="31">
        <f t="shared" si="3"/>
        <v>22.102611373300547</v>
      </c>
      <c r="G208" s="9">
        <f>'CDC Source Data'!F374</f>
        <v>0.12</v>
      </c>
      <c r="H208" s="7" t="str">
        <f>'CDC Source Data'!G374</f>
        <v>Completeness of provisional 2019 data under 90% after 6 months.</v>
      </c>
      <c r="I208" s="97">
        <v>21.5</v>
      </c>
      <c r="J208" s="97">
        <v>22.5</v>
      </c>
      <c r="K208" s="98">
        <v>31</v>
      </c>
      <c r="L208" s="98">
        <v>31</v>
      </c>
      <c r="M208" s="98">
        <v>37</v>
      </c>
      <c r="N208" s="98">
        <v>38</v>
      </c>
      <c r="O208" s="98">
        <v>46</v>
      </c>
      <c r="P208" s="98">
        <v>52</v>
      </c>
      <c r="Q208" s="98">
        <v>46</v>
      </c>
      <c r="R208" s="98">
        <v>51</v>
      </c>
      <c r="S208" s="98">
        <v>47</v>
      </c>
      <c r="T208" s="98">
        <v>44</v>
      </c>
      <c r="U208" s="98">
        <v>50</v>
      </c>
      <c r="V208" s="98">
        <v>46</v>
      </c>
      <c r="W208" s="98">
        <v>43</v>
      </c>
      <c r="X208" s="98">
        <v>45</v>
      </c>
      <c r="Y208" s="98">
        <v>42</v>
      </c>
      <c r="Z208" s="98">
        <v>42</v>
      </c>
      <c r="AA208" s="98">
        <v>45</v>
      </c>
      <c r="AB208" s="98">
        <v>39</v>
      </c>
      <c r="AC208" s="98">
        <v>39</v>
      </c>
      <c r="AD208" s="98">
        <v>33</v>
      </c>
      <c r="AE208" s="98">
        <v>26</v>
      </c>
      <c r="AF208" s="98">
        <v>27</v>
      </c>
      <c r="AG208" s="98">
        <v>24</v>
      </c>
    </row>
    <row r="209" spans="1:33" x14ac:dyDescent="0.3">
      <c r="A209" s="7">
        <v>204</v>
      </c>
      <c r="B209" s="7" t="s">
        <v>595</v>
      </c>
      <c r="C209" s="7" t="s">
        <v>50</v>
      </c>
      <c r="D209" s="8">
        <f>'CDC Source Data'!D575</f>
        <v>602772</v>
      </c>
      <c r="E209" s="8">
        <f>'CDC Source Data'!E575</f>
        <v>133</v>
      </c>
      <c r="F209" s="31">
        <f t="shared" si="3"/>
        <v>22.079726211394977</v>
      </c>
      <c r="G209" s="9">
        <f>'CDC Source Data'!F575</f>
        <v>0.02</v>
      </c>
      <c r="H209" s="7">
        <f>'CDC Source Data'!G575</f>
        <v>0</v>
      </c>
      <c r="I209" s="97">
        <v>31.9</v>
      </c>
      <c r="J209" s="97">
        <v>33.299999999999997</v>
      </c>
      <c r="K209" s="98">
        <v>219</v>
      </c>
      <c r="L209" s="98">
        <v>247</v>
      </c>
      <c r="M209" s="98">
        <v>287</v>
      </c>
      <c r="N209" s="98">
        <v>329</v>
      </c>
      <c r="O209" s="98">
        <v>314</v>
      </c>
      <c r="P209" s="98">
        <v>332</v>
      </c>
      <c r="Q209" s="98">
        <v>339</v>
      </c>
      <c r="R209" s="98">
        <v>349</v>
      </c>
      <c r="S209" s="98">
        <v>373</v>
      </c>
      <c r="T209" s="98">
        <v>359</v>
      </c>
      <c r="U209" s="98">
        <v>359</v>
      </c>
      <c r="V209" s="98">
        <v>319</v>
      </c>
      <c r="W209" s="98">
        <v>316</v>
      </c>
      <c r="X209" s="98">
        <v>311</v>
      </c>
      <c r="Y209" s="98">
        <v>291</v>
      </c>
      <c r="Z209" s="98">
        <v>298</v>
      </c>
      <c r="AA209" s="98">
        <v>281</v>
      </c>
      <c r="AB209" s="98">
        <v>259</v>
      </c>
      <c r="AC209" s="98">
        <v>223</v>
      </c>
      <c r="AD209" s="98">
        <v>184</v>
      </c>
      <c r="AE209" s="98">
        <v>162</v>
      </c>
      <c r="AF209" s="98">
        <v>140</v>
      </c>
      <c r="AG209" s="98">
        <v>133</v>
      </c>
    </row>
    <row r="210" spans="1:33" x14ac:dyDescent="0.3">
      <c r="A210" s="7">
        <v>205</v>
      </c>
      <c r="B210" s="7" t="s">
        <v>596</v>
      </c>
      <c r="C210" s="7" t="s">
        <v>447</v>
      </c>
      <c r="D210" s="8">
        <f>'CDC Source Data'!D185</f>
        <v>167762</v>
      </c>
      <c r="E210" s="8">
        <f>'CDC Source Data'!E185</f>
        <v>37</v>
      </c>
      <c r="F210" s="31">
        <f t="shared" si="3"/>
        <v>22.064727625038987</v>
      </c>
      <c r="G210" s="9">
        <f>'CDC Source Data'!F185</f>
        <v>0</v>
      </c>
      <c r="H210" s="7">
        <f>'CDC Source Data'!G185</f>
        <v>0</v>
      </c>
      <c r="I210" s="97">
        <v>20.5</v>
      </c>
      <c r="J210" s="97">
        <v>21.4</v>
      </c>
      <c r="K210" s="98">
        <v>40</v>
      </c>
      <c r="L210" s="98">
        <v>50</v>
      </c>
      <c r="M210" s="98">
        <v>53</v>
      </c>
      <c r="N210" s="98">
        <v>56</v>
      </c>
      <c r="O210" s="98">
        <v>55</v>
      </c>
      <c r="P210" s="98">
        <v>50</v>
      </c>
      <c r="Q210" s="98">
        <v>64</v>
      </c>
      <c r="R210" s="98">
        <v>68</v>
      </c>
      <c r="S210" s="98">
        <v>67</v>
      </c>
      <c r="T210" s="98">
        <v>71</v>
      </c>
      <c r="U210" s="98">
        <v>67</v>
      </c>
      <c r="V210" s="98">
        <v>63</v>
      </c>
      <c r="W210" s="98">
        <v>64</v>
      </c>
      <c r="X210" s="98">
        <v>65</v>
      </c>
      <c r="Y210" s="98">
        <v>61</v>
      </c>
      <c r="Z210" s="98">
        <v>55</v>
      </c>
      <c r="AA210" s="98">
        <v>50</v>
      </c>
      <c r="AB210" s="98">
        <v>40</v>
      </c>
      <c r="AC210" s="98">
        <v>34</v>
      </c>
      <c r="AD210" s="98">
        <v>40</v>
      </c>
      <c r="AE210" s="98">
        <v>39</v>
      </c>
      <c r="AF210" s="98">
        <v>39</v>
      </c>
      <c r="AG210" s="98">
        <v>37</v>
      </c>
    </row>
    <row r="211" spans="1:33" x14ac:dyDescent="0.3">
      <c r="A211" s="7">
        <v>206</v>
      </c>
      <c r="B211" s="7" t="s">
        <v>597</v>
      </c>
      <c r="C211" s="7" t="s">
        <v>41</v>
      </c>
      <c r="D211" s="8">
        <f>'CDC Source Data'!D146</f>
        <v>104457</v>
      </c>
      <c r="E211" s="8">
        <f>'CDC Source Data'!E146</f>
        <v>23</v>
      </c>
      <c r="F211" s="31">
        <f t="shared" si="3"/>
        <v>22.055054183903387</v>
      </c>
      <c r="G211" s="9">
        <f>'CDC Source Data'!F146</f>
        <v>0.08</v>
      </c>
      <c r="H211" s="7">
        <f>'CDC Source Data'!G146</f>
        <v>0</v>
      </c>
      <c r="I211" s="97">
        <v>19.2</v>
      </c>
      <c r="J211" s="97">
        <v>20</v>
      </c>
      <c r="K211" s="98">
        <v>14</v>
      </c>
      <c r="L211" s="98">
        <v>18</v>
      </c>
      <c r="M211" s="98">
        <v>19</v>
      </c>
      <c r="N211" s="98">
        <v>21</v>
      </c>
      <c r="O211" s="98">
        <v>19</v>
      </c>
      <c r="P211" s="98">
        <v>21</v>
      </c>
      <c r="Q211" s="98">
        <v>22</v>
      </c>
      <c r="R211" s="98">
        <v>21</v>
      </c>
      <c r="S211" s="98">
        <v>18</v>
      </c>
      <c r="T211" s="98">
        <v>17</v>
      </c>
      <c r="U211" s="98">
        <v>21</v>
      </c>
      <c r="V211" s="98">
        <v>30</v>
      </c>
      <c r="W211" s="98">
        <v>31</v>
      </c>
      <c r="X211" s="98">
        <v>30</v>
      </c>
      <c r="Y211" s="98">
        <v>28</v>
      </c>
      <c r="Z211" s="98">
        <v>23</v>
      </c>
      <c r="AA211" s="98">
        <v>24</v>
      </c>
      <c r="AB211" s="98">
        <v>23</v>
      </c>
      <c r="AC211" s="98">
        <v>21</v>
      </c>
      <c r="AD211" s="98">
        <v>22</v>
      </c>
      <c r="AE211" s="98">
        <v>21</v>
      </c>
      <c r="AF211" s="98">
        <v>23</v>
      </c>
      <c r="AG211" s="98">
        <v>23</v>
      </c>
    </row>
    <row r="212" spans="1:33" x14ac:dyDescent="0.3">
      <c r="A212" s="7">
        <v>207</v>
      </c>
      <c r="B212" s="7" t="s">
        <v>598</v>
      </c>
      <c r="C212" s="7" t="s">
        <v>32</v>
      </c>
      <c r="D212" s="8">
        <f>'CDC Source Data'!D403</f>
        <v>209570</v>
      </c>
      <c r="E212" s="8">
        <f>'CDC Source Data'!E403</f>
        <v>46</v>
      </c>
      <c r="F212" s="31">
        <f t="shared" si="3"/>
        <v>22.01862967536881</v>
      </c>
      <c r="G212" s="9">
        <f>'CDC Source Data'!F403</f>
        <v>0.16</v>
      </c>
      <c r="H212" s="7" t="str">
        <f>'CDC Source Data'!G403</f>
        <v>Completeness of provisional 2019 data under 90% after 6 months.</v>
      </c>
      <c r="I212" s="97">
        <v>21.2</v>
      </c>
      <c r="J212" s="97">
        <v>22.1</v>
      </c>
      <c r="K212" s="98">
        <v>56</v>
      </c>
      <c r="L212" s="98">
        <v>65</v>
      </c>
      <c r="M212" s="98">
        <v>73</v>
      </c>
      <c r="N212" s="98">
        <v>74</v>
      </c>
      <c r="O212" s="98">
        <v>82</v>
      </c>
      <c r="P212" s="98">
        <v>76</v>
      </c>
      <c r="Q212" s="98">
        <v>77</v>
      </c>
      <c r="R212" s="98">
        <v>88</v>
      </c>
      <c r="S212" s="98">
        <v>84</v>
      </c>
      <c r="T212" s="98">
        <v>87</v>
      </c>
      <c r="U212" s="98">
        <v>88</v>
      </c>
      <c r="V212" s="98">
        <v>89</v>
      </c>
      <c r="W212" s="98">
        <v>95</v>
      </c>
      <c r="X212" s="98">
        <v>96</v>
      </c>
      <c r="Y212" s="98">
        <v>98</v>
      </c>
      <c r="Z212" s="98">
        <v>92</v>
      </c>
      <c r="AA212" s="98">
        <v>87</v>
      </c>
      <c r="AB212" s="98">
        <v>86</v>
      </c>
      <c r="AC212" s="98">
        <v>78</v>
      </c>
      <c r="AD212" s="98">
        <v>71</v>
      </c>
      <c r="AE212" s="98">
        <v>62</v>
      </c>
      <c r="AF212" s="98">
        <v>54</v>
      </c>
      <c r="AG212" s="98">
        <v>46</v>
      </c>
    </row>
    <row r="213" spans="1:33" x14ac:dyDescent="0.3">
      <c r="A213" s="7">
        <v>208</v>
      </c>
      <c r="B213" s="7" t="s">
        <v>599</v>
      </c>
      <c r="C213" s="7" t="s">
        <v>15</v>
      </c>
      <c r="D213" s="8">
        <f>'CDC Source Data'!D483</f>
        <v>2214281</v>
      </c>
      <c r="E213" s="8">
        <f>'CDC Source Data'!E483</f>
        <v>485</v>
      </c>
      <c r="F213" s="31">
        <f t="shared" si="3"/>
        <v>21.949706541966883</v>
      </c>
      <c r="G213" s="9">
        <f>'CDC Source Data'!F483</f>
        <v>0.24</v>
      </c>
      <c r="H213" s="7" t="str">
        <f>'CDC Source Data'!G483</f>
        <v>Completeness of provisional 2019 data under 90% after 6 months.</v>
      </c>
      <c r="I213" s="97">
        <v>10.7</v>
      </c>
      <c r="J213" s="97">
        <v>11.2</v>
      </c>
      <c r="K213" s="98">
        <v>296</v>
      </c>
      <c r="L213" s="98">
        <v>341</v>
      </c>
      <c r="M213" s="98">
        <v>436</v>
      </c>
      <c r="N213" s="98">
        <v>518</v>
      </c>
      <c r="O213" s="98">
        <v>547</v>
      </c>
      <c r="P213" s="98">
        <v>557</v>
      </c>
      <c r="Q213" s="98">
        <v>562</v>
      </c>
      <c r="R213" s="98">
        <v>559</v>
      </c>
      <c r="S213" s="98">
        <v>555</v>
      </c>
      <c r="T213" s="98">
        <v>543</v>
      </c>
      <c r="U213" s="98">
        <v>524</v>
      </c>
      <c r="V213" s="98">
        <v>515</v>
      </c>
      <c r="W213" s="98">
        <v>514</v>
      </c>
      <c r="X213" s="98">
        <v>562</v>
      </c>
      <c r="Y213" s="98">
        <v>586</v>
      </c>
      <c r="Z213" s="98">
        <v>602</v>
      </c>
      <c r="AA213" s="98">
        <v>589</v>
      </c>
      <c r="AB213" s="98">
        <v>537</v>
      </c>
      <c r="AC213" s="98">
        <v>496</v>
      </c>
      <c r="AD213" s="98">
        <v>473</v>
      </c>
      <c r="AE213" s="98">
        <v>475</v>
      </c>
      <c r="AF213" s="98">
        <v>481</v>
      </c>
      <c r="AG213" s="98">
        <v>485</v>
      </c>
    </row>
    <row r="214" spans="1:33" x14ac:dyDescent="0.3">
      <c r="A214" s="7">
        <v>209</v>
      </c>
      <c r="B214" s="7" t="s">
        <v>600</v>
      </c>
      <c r="C214" s="7" t="s">
        <v>458</v>
      </c>
      <c r="D214" s="8">
        <f>'CDC Source Data'!D158</f>
        <v>174663</v>
      </c>
      <c r="E214" s="8">
        <f>'CDC Source Data'!E158</f>
        <v>38</v>
      </c>
      <c r="F214" s="31">
        <f t="shared" si="3"/>
        <v>21.903272439225194</v>
      </c>
      <c r="G214" s="9">
        <f>'CDC Source Data'!F158</f>
        <v>0.2</v>
      </c>
      <c r="H214" s="7">
        <f>'CDC Source Data'!G158</f>
        <v>0</v>
      </c>
      <c r="I214" s="97">
        <v>17.2</v>
      </c>
      <c r="J214" s="97">
        <v>18</v>
      </c>
      <c r="K214" s="98">
        <v>35</v>
      </c>
      <c r="L214" s="98">
        <v>46</v>
      </c>
      <c r="M214" s="98">
        <v>48</v>
      </c>
      <c r="N214" s="98">
        <v>51</v>
      </c>
      <c r="O214" s="98">
        <v>50</v>
      </c>
      <c r="P214" s="98">
        <v>49</v>
      </c>
      <c r="Q214" s="98">
        <v>50</v>
      </c>
      <c r="R214" s="98">
        <v>50</v>
      </c>
      <c r="S214" s="98">
        <v>46</v>
      </c>
      <c r="T214" s="98">
        <v>46</v>
      </c>
      <c r="U214" s="98">
        <v>46</v>
      </c>
      <c r="V214" s="98">
        <v>49</v>
      </c>
      <c r="W214" s="98">
        <v>52</v>
      </c>
      <c r="X214" s="98">
        <v>55</v>
      </c>
      <c r="Y214" s="98">
        <v>56</v>
      </c>
      <c r="Z214" s="98">
        <v>58</v>
      </c>
      <c r="AA214" s="98">
        <v>57</v>
      </c>
      <c r="AB214" s="98">
        <v>52</v>
      </c>
      <c r="AC214" s="98">
        <v>46</v>
      </c>
      <c r="AD214" s="98">
        <v>42</v>
      </c>
      <c r="AE214" s="98">
        <v>37</v>
      </c>
      <c r="AF214" s="98">
        <v>39</v>
      </c>
      <c r="AG214" s="98">
        <v>38</v>
      </c>
    </row>
    <row r="215" spans="1:33" x14ac:dyDescent="0.3">
      <c r="A215" s="7">
        <v>210</v>
      </c>
      <c r="B215" s="7" t="s">
        <v>260</v>
      </c>
      <c r="C215" s="7" t="s">
        <v>262</v>
      </c>
      <c r="D215" s="8">
        <f>'CDC Source Data'!D338</f>
        <v>263017</v>
      </c>
      <c r="E215" s="8">
        <f>'CDC Source Data'!E338</f>
        <v>57</v>
      </c>
      <c r="F215" s="31">
        <f t="shared" si="3"/>
        <v>21.756181904581965</v>
      </c>
      <c r="G215" s="9">
        <f>'CDC Source Data'!F338</f>
        <v>0.3</v>
      </c>
      <c r="H215" s="7" t="str">
        <f>'CDC Source Data'!G338</f>
        <v>Completeness of provisional 2019 data under 90% after 6 months.</v>
      </c>
      <c r="I215" s="97">
        <v>31</v>
      </c>
      <c r="J215" s="97">
        <v>32.4</v>
      </c>
      <c r="K215" s="98">
        <v>116</v>
      </c>
      <c r="L215" s="98">
        <v>118</v>
      </c>
      <c r="M215" s="98">
        <v>104</v>
      </c>
      <c r="N215" s="98">
        <v>100</v>
      </c>
      <c r="O215" s="98">
        <v>99</v>
      </c>
      <c r="P215" s="98">
        <v>98</v>
      </c>
      <c r="Q215" s="98">
        <v>101</v>
      </c>
      <c r="R215" s="98">
        <v>109</v>
      </c>
      <c r="S215" s="98">
        <v>112</v>
      </c>
      <c r="T215" s="98">
        <v>108</v>
      </c>
      <c r="U215" s="98">
        <v>110</v>
      </c>
      <c r="V215" s="98">
        <v>107</v>
      </c>
      <c r="W215" s="98">
        <v>97</v>
      </c>
      <c r="X215" s="98">
        <v>98</v>
      </c>
      <c r="Y215" s="98">
        <v>98</v>
      </c>
      <c r="Z215" s="98">
        <v>91</v>
      </c>
      <c r="AA215" s="98">
        <v>92</v>
      </c>
      <c r="AB215" s="98">
        <v>79</v>
      </c>
      <c r="AC215" s="98">
        <v>63</v>
      </c>
      <c r="AD215" s="98">
        <v>58</v>
      </c>
      <c r="AE215" s="98">
        <v>56</v>
      </c>
      <c r="AF215" s="98">
        <v>61</v>
      </c>
      <c r="AG215" s="98">
        <v>57</v>
      </c>
    </row>
    <row r="216" spans="1:33" x14ac:dyDescent="0.3">
      <c r="A216" s="7">
        <v>211</v>
      </c>
      <c r="B216" s="7" t="s">
        <v>601</v>
      </c>
      <c r="C216" s="7" t="s">
        <v>43</v>
      </c>
      <c r="D216" s="8">
        <f>'CDC Source Data'!D440</f>
        <v>513862</v>
      </c>
      <c r="E216" s="8">
        <f>'CDC Source Data'!E440</f>
        <v>111</v>
      </c>
      <c r="F216" s="31">
        <f t="shared" si="3"/>
        <v>21.671602976233476</v>
      </c>
      <c r="G216" s="9">
        <f>'CDC Source Data'!F440</f>
        <v>0.02</v>
      </c>
      <c r="H216" s="7" t="str">
        <f>'CDC Source Data'!G440</f>
        <v>Completeness of provisional 2019 data under 90% after 6 months.</v>
      </c>
      <c r="I216" s="97">
        <v>17.8</v>
      </c>
      <c r="J216" s="97">
        <v>18.600000000000001</v>
      </c>
      <c r="K216" s="98">
        <v>88</v>
      </c>
      <c r="L216" s="98">
        <v>108</v>
      </c>
      <c r="M216" s="98">
        <v>109</v>
      </c>
      <c r="N216" s="98">
        <v>115</v>
      </c>
      <c r="O216" s="98">
        <v>128</v>
      </c>
      <c r="P216" s="98">
        <v>125</v>
      </c>
      <c r="Q216" s="98">
        <v>128</v>
      </c>
      <c r="R216" s="98">
        <v>129</v>
      </c>
      <c r="S216" s="98">
        <v>125</v>
      </c>
      <c r="T216" s="98">
        <v>125</v>
      </c>
      <c r="U216" s="98">
        <v>116</v>
      </c>
      <c r="V216" s="98">
        <v>109</v>
      </c>
      <c r="W216" s="98">
        <v>111</v>
      </c>
      <c r="X216" s="98">
        <v>107</v>
      </c>
      <c r="Y216" s="98">
        <v>112</v>
      </c>
      <c r="Z216" s="98">
        <v>108</v>
      </c>
      <c r="AA216" s="98">
        <v>102</v>
      </c>
      <c r="AB216" s="98">
        <v>95</v>
      </c>
      <c r="AC216" s="98">
        <v>87</v>
      </c>
      <c r="AD216" s="98">
        <v>95</v>
      </c>
      <c r="AE216" s="98">
        <v>98</v>
      </c>
      <c r="AF216" s="98">
        <v>107</v>
      </c>
      <c r="AG216" s="98">
        <v>111</v>
      </c>
    </row>
    <row r="217" spans="1:33" x14ac:dyDescent="0.3">
      <c r="A217" s="7">
        <v>212</v>
      </c>
      <c r="B217" s="7" t="s">
        <v>602</v>
      </c>
      <c r="C217" s="7" t="s">
        <v>453</v>
      </c>
      <c r="D217" s="8">
        <f>'CDC Source Data'!D63</f>
        <v>588593</v>
      </c>
      <c r="E217" s="8">
        <f>'CDC Source Data'!E63</f>
        <v>127</v>
      </c>
      <c r="F217" s="31">
        <f t="shared" si="3"/>
        <v>21.601130264545734</v>
      </c>
      <c r="G217" s="9">
        <f>'CDC Source Data'!F63</f>
        <v>0.11</v>
      </c>
      <c r="H217" s="7">
        <f>'CDC Source Data'!G63</f>
        <v>0</v>
      </c>
      <c r="I217" s="97">
        <v>37.799999999999997</v>
      </c>
      <c r="J217" s="97">
        <v>39.4</v>
      </c>
      <c r="K217" s="98">
        <v>268</v>
      </c>
      <c r="L217" s="98">
        <v>271</v>
      </c>
      <c r="M217" s="98">
        <v>245</v>
      </c>
      <c r="N217" s="98">
        <v>249</v>
      </c>
      <c r="O217" s="98">
        <v>268</v>
      </c>
      <c r="P217" s="98">
        <v>278</v>
      </c>
      <c r="Q217" s="98">
        <v>305</v>
      </c>
      <c r="R217" s="98">
        <v>318</v>
      </c>
      <c r="S217" s="98">
        <v>315</v>
      </c>
      <c r="T217" s="98">
        <v>303</v>
      </c>
      <c r="U217" s="98">
        <v>291</v>
      </c>
      <c r="V217" s="98">
        <v>312</v>
      </c>
      <c r="W217" s="98">
        <v>309</v>
      </c>
      <c r="X217" s="98">
        <v>326</v>
      </c>
      <c r="Y217" s="98">
        <v>324</v>
      </c>
      <c r="Z217" s="98">
        <v>278</v>
      </c>
      <c r="AA217" s="98">
        <v>258</v>
      </c>
      <c r="AB217" s="98">
        <v>208</v>
      </c>
      <c r="AC217" s="98">
        <v>184</v>
      </c>
      <c r="AD217" s="98">
        <v>151</v>
      </c>
      <c r="AE217" s="98">
        <v>135</v>
      </c>
      <c r="AF217" s="98">
        <v>134</v>
      </c>
      <c r="AG217" s="98">
        <v>127</v>
      </c>
    </row>
    <row r="218" spans="1:33" x14ac:dyDescent="0.3">
      <c r="A218" s="7">
        <v>213</v>
      </c>
      <c r="B218" s="7" t="s">
        <v>603</v>
      </c>
      <c r="C218" s="7" t="s">
        <v>604</v>
      </c>
      <c r="D218" s="8">
        <f>'CDC Source Data'!D140</f>
        <v>2656028</v>
      </c>
      <c r="E218" s="8">
        <f>'CDC Source Data'!E140</f>
        <v>573</v>
      </c>
      <c r="F218" s="31">
        <f t="shared" si="3"/>
        <v>21.576879099819401</v>
      </c>
      <c r="G218" s="9">
        <f>'CDC Source Data'!F140</f>
        <v>0.02</v>
      </c>
      <c r="H218" s="7" t="str">
        <f>'CDC Source Data'!G140</f>
        <v>Completeness of provisional 2019 data under 90% after 6 months.</v>
      </c>
      <c r="I218" s="97">
        <v>14.8</v>
      </c>
      <c r="J218" s="97">
        <v>15.4</v>
      </c>
      <c r="K218" s="98">
        <v>364</v>
      </c>
      <c r="L218" s="98">
        <v>395</v>
      </c>
      <c r="M218" s="98">
        <v>435</v>
      </c>
      <c r="N218" s="98">
        <v>452</v>
      </c>
      <c r="O218" s="98">
        <v>504</v>
      </c>
      <c r="P218" s="98">
        <v>537</v>
      </c>
      <c r="Q218" s="98">
        <v>562</v>
      </c>
      <c r="R218" s="98">
        <v>564</v>
      </c>
      <c r="S218" s="98">
        <v>562</v>
      </c>
      <c r="T218" s="98">
        <v>542</v>
      </c>
      <c r="U218" s="98">
        <v>555</v>
      </c>
      <c r="V218" s="98">
        <v>573</v>
      </c>
      <c r="W218" s="98">
        <v>607</v>
      </c>
      <c r="X218" s="98">
        <v>638</v>
      </c>
      <c r="Y218" s="98">
        <v>653</v>
      </c>
      <c r="Z218" s="98">
        <v>654</v>
      </c>
      <c r="AA218" s="98">
        <v>642</v>
      </c>
      <c r="AB218" s="98">
        <v>631</v>
      </c>
      <c r="AC218" s="98">
        <v>576</v>
      </c>
      <c r="AD218" s="98">
        <v>566</v>
      </c>
      <c r="AE218" s="98">
        <v>550</v>
      </c>
      <c r="AF218" s="98">
        <v>541</v>
      </c>
      <c r="AG218" s="98">
        <v>573</v>
      </c>
    </row>
    <row r="219" spans="1:33" x14ac:dyDescent="0.3">
      <c r="A219" s="7">
        <v>214</v>
      </c>
      <c r="B219" s="7" t="s">
        <v>450</v>
      </c>
      <c r="C219" s="7" t="s">
        <v>19</v>
      </c>
      <c r="D219" s="8">
        <f>'CDC Source Data'!D151</f>
        <v>584882</v>
      </c>
      <c r="E219" s="8">
        <f>'CDC Source Data'!E151</f>
        <v>126</v>
      </c>
      <c r="F219" s="31">
        <f t="shared" si="3"/>
        <v>21.573567748532771</v>
      </c>
      <c r="G219" s="9">
        <f>'CDC Source Data'!F151</f>
        <v>0.09</v>
      </c>
      <c r="H219" s="7">
        <f>'CDC Source Data'!G151</f>
        <v>0</v>
      </c>
      <c r="I219" s="97">
        <v>36</v>
      </c>
      <c r="J219" s="97">
        <v>37.6</v>
      </c>
      <c r="K219" s="98">
        <v>215</v>
      </c>
      <c r="L219" s="98">
        <v>252</v>
      </c>
      <c r="M219" s="98">
        <v>240</v>
      </c>
      <c r="N219" s="98">
        <v>215</v>
      </c>
      <c r="O219" s="98">
        <v>218</v>
      </c>
      <c r="P219" s="98">
        <v>192</v>
      </c>
      <c r="Q219" s="98">
        <v>196</v>
      </c>
      <c r="R219" s="98">
        <v>208</v>
      </c>
      <c r="S219" s="98">
        <v>195</v>
      </c>
      <c r="T219" s="98">
        <v>180</v>
      </c>
      <c r="U219" s="98">
        <v>173</v>
      </c>
      <c r="V219" s="98">
        <v>167</v>
      </c>
      <c r="W219" s="98">
        <v>187</v>
      </c>
      <c r="X219" s="98">
        <v>206</v>
      </c>
      <c r="Y219" s="98">
        <v>199</v>
      </c>
      <c r="Z219" s="98">
        <v>203</v>
      </c>
      <c r="AA219" s="98">
        <v>176</v>
      </c>
      <c r="AB219" s="98">
        <v>148</v>
      </c>
      <c r="AC219" s="98">
        <v>151</v>
      </c>
      <c r="AD219" s="98">
        <v>128</v>
      </c>
      <c r="AE219" s="98">
        <v>123</v>
      </c>
      <c r="AF219" s="98">
        <v>133</v>
      </c>
      <c r="AG219" s="98">
        <v>126</v>
      </c>
    </row>
    <row r="220" spans="1:33" x14ac:dyDescent="0.3">
      <c r="A220" s="7">
        <v>215</v>
      </c>
      <c r="B220" s="7" t="s">
        <v>605</v>
      </c>
      <c r="C220" s="7" t="s">
        <v>469</v>
      </c>
      <c r="D220" s="8">
        <f>'CDC Source Data'!D113</f>
        <v>129995</v>
      </c>
      <c r="E220" s="8">
        <f>'CDC Source Data'!E113</f>
        <v>28</v>
      </c>
      <c r="F220" s="31">
        <f t="shared" si="3"/>
        <v>21.542806925157553</v>
      </c>
      <c r="G220" s="9">
        <f>'CDC Source Data'!F113</f>
        <v>0.22</v>
      </c>
      <c r="H220" s="7">
        <f>'CDC Source Data'!G113</f>
        <v>0</v>
      </c>
      <c r="I220" s="97">
        <v>12.8</v>
      </c>
      <c r="J220" s="97">
        <v>13.4</v>
      </c>
      <c r="K220" s="98">
        <v>17</v>
      </c>
      <c r="L220" s="98">
        <v>19</v>
      </c>
      <c r="M220" s="98">
        <v>18</v>
      </c>
      <c r="N220" s="98">
        <v>17</v>
      </c>
      <c r="O220" s="98">
        <v>18</v>
      </c>
      <c r="P220" s="98">
        <v>14</v>
      </c>
      <c r="Q220" s="98">
        <v>18</v>
      </c>
      <c r="R220" s="98">
        <v>27</v>
      </c>
      <c r="S220" s="98">
        <v>30</v>
      </c>
      <c r="T220" s="98">
        <v>38</v>
      </c>
      <c r="U220" s="98">
        <v>40</v>
      </c>
      <c r="V220" s="98">
        <v>37</v>
      </c>
      <c r="W220" s="98">
        <v>37</v>
      </c>
      <c r="X220" s="98">
        <v>32</v>
      </c>
      <c r="Y220" s="98">
        <v>33</v>
      </c>
      <c r="Z220" s="98">
        <v>30</v>
      </c>
      <c r="AA220" s="98">
        <v>28</v>
      </c>
      <c r="AB220" s="98">
        <v>29</v>
      </c>
      <c r="AC220" s="98">
        <v>22</v>
      </c>
      <c r="AD220" s="98">
        <v>22</v>
      </c>
      <c r="AE220" s="98">
        <v>24</v>
      </c>
      <c r="AF220" s="98">
        <v>26</v>
      </c>
      <c r="AG220" s="98">
        <v>28</v>
      </c>
    </row>
    <row r="221" spans="1:33" x14ac:dyDescent="0.3">
      <c r="A221" s="7">
        <v>216</v>
      </c>
      <c r="B221" s="7" t="s">
        <v>606</v>
      </c>
      <c r="C221" s="7" t="s">
        <v>15</v>
      </c>
      <c r="D221" s="8">
        <f>'CDC Source Data'!D484</f>
        <v>3298799</v>
      </c>
      <c r="E221" s="8">
        <f>'CDC Source Data'!E484</f>
        <v>708</v>
      </c>
      <c r="F221" s="31">
        <f t="shared" si="3"/>
        <v>21.539289972691257</v>
      </c>
      <c r="G221" s="9">
        <f>'CDC Source Data'!F484</f>
        <v>0.21</v>
      </c>
      <c r="H221" s="7">
        <f>'CDC Source Data'!G484</f>
        <v>0</v>
      </c>
      <c r="I221" s="97">
        <v>17.8</v>
      </c>
      <c r="J221" s="97">
        <v>18.600000000000001</v>
      </c>
      <c r="K221" s="98">
        <v>520</v>
      </c>
      <c r="L221" s="98">
        <v>563</v>
      </c>
      <c r="M221" s="98">
        <v>678</v>
      </c>
      <c r="N221" s="98">
        <v>760</v>
      </c>
      <c r="O221" s="98">
        <v>872</v>
      </c>
      <c r="P221" s="98">
        <v>963</v>
      </c>
      <c r="Q221" s="98">
        <v>946</v>
      </c>
      <c r="R221" s="98">
        <v>980</v>
      </c>
      <c r="S221" s="100"/>
      <c r="T221" s="98">
        <v>965</v>
      </c>
      <c r="U221" s="100"/>
      <c r="V221" s="98">
        <v>997</v>
      </c>
      <c r="W221" s="98">
        <v>990</v>
      </c>
      <c r="X221" s="98">
        <v>980</v>
      </c>
      <c r="Y221" s="98">
        <v>964</v>
      </c>
      <c r="Z221" s="98">
        <v>928</v>
      </c>
      <c r="AA221" s="98">
        <v>834</v>
      </c>
      <c r="AB221" s="98">
        <v>805</v>
      </c>
      <c r="AC221" s="98">
        <v>707</v>
      </c>
      <c r="AD221" s="98">
        <v>694</v>
      </c>
      <c r="AE221" s="98">
        <v>682</v>
      </c>
      <c r="AF221" s="98">
        <v>670</v>
      </c>
      <c r="AG221" s="98">
        <v>708</v>
      </c>
    </row>
    <row r="222" spans="1:33" x14ac:dyDescent="0.3">
      <c r="A222" s="7">
        <v>217</v>
      </c>
      <c r="B222" s="7" t="s">
        <v>607</v>
      </c>
      <c r="C222" s="7" t="s">
        <v>526</v>
      </c>
      <c r="D222" s="8">
        <f>'CDC Source Data'!D233</f>
        <v>209790</v>
      </c>
      <c r="E222" s="8">
        <f>'CDC Source Data'!E233</f>
        <v>45</v>
      </c>
      <c r="F222" s="31">
        <f t="shared" si="3"/>
        <v>21.462356451544942</v>
      </c>
      <c r="G222" s="9">
        <f>'CDC Source Data'!F233</f>
        <v>0.19</v>
      </c>
      <c r="H222" s="7">
        <f>'CDC Source Data'!G233</f>
        <v>0</v>
      </c>
      <c r="I222" s="97">
        <v>14.8</v>
      </c>
      <c r="J222" s="97">
        <v>15.4</v>
      </c>
      <c r="K222" s="98">
        <v>12</v>
      </c>
      <c r="L222" s="98">
        <v>20</v>
      </c>
      <c r="M222" s="98">
        <v>21</v>
      </c>
      <c r="N222" s="98">
        <v>24</v>
      </c>
      <c r="O222" s="98">
        <v>33</v>
      </c>
      <c r="P222" s="98">
        <v>28</v>
      </c>
      <c r="Q222" s="98">
        <v>29</v>
      </c>
      <c r="R222" s="98">
        <v>33</v>
      </c>
      <c r="S222" s="98">
        <v>29</v>
      </c>
      <c r="T222" s="98">
        <v>28</v>
      </c>
      <c r="U222" s="98">
        <v>35</v>
      </c>
      <c r="V222" s="98">
        <v>40</v>
      </c>
      <c r="W222" s="98">
        <v>47</v>
      </c>
      <c r="X222" s="98">
        <v>53</v>
      </c>
      <c r="Y222" s="98">
        <v>51</v>
      </c>
      <c r="Z222" s="98">
        <v>41</v>
      </c>
      <c r="AA222" s="98">
        <v>42</v>
      </c>
      <c r="AB222" s="98">
        <v>47</v>
      </c>
      <c r="AC222" s="98">
        <v>45</v>
      </c>
      <c r="AD222" s="98">
        <v>53</v>
      </c>
      <c r="AE222" s="98">
        <v>50</v>
      </c>
      <c r="AF222" s="98">
        <v>46</v>
      </c>
      <c r="AG222" s="98">
        <v>45</v>
      </c>
    </row>
    <row r="223" spans="1:33" x14ac:dyDescent="0.3">
      <c r="A223" s="7">
        <v>218</v>
      </c>
      <c r="B223" s="7" t="s">
        <v>464</v>
      </c>
      <c r="C223" s="7" t="s">
        <v>19</v>
      </c>
      <c r="D223" s="8">
        <f>'CDC Source Data'!D585</f>
        <v>210434</v>
      </c>
      <c r="E223" s="8">
        <f>'CDC Source Data'!E585</f>
        <v>45</v>
      </c>
      <c r="F223" s="31">
        <f t="shared" si="3"/>
        <v>21.450021450021449</v>
      </c>
      <c r="G223" s="9">
        <f>'CDC Source Data'!F585</f>
        <v>0.41</v>
      </c>
      <c r="H223" s="7" t="str">
        <f>'CDC Source Data'!G585</f>
        <v>Completeness of provisional 2019 data under 90% after 6 months.</v>
      </c>
      <c r="I223" s="97">
        <v>33.700000000000003</v>
      </c>
      <c r="J223" s="97">
        <v>35.200000000000003</v>
      </c>
      <c r="K223" s="98">
        <v>91</v>
      </c>
      <c r="L223" s="98">
        <v>89</v>
      </c>
      <c r="M223" s="98">
        <v>105</v>
      </c>
      <c r="N223" s="98">
        <v>101</v>
      </c>
      <c r="O223" s="98">
        <v>113</v>
      </c>
      <c r="P223" s="98">
        <v>120</v>
      </c>
      <c r="Q223" s="98">
        <v>125</v>
      </c>
      <c r="R223" s="98">
        <v>115</v>
      </c>
      <c r="S223" s="98">
        <v>103</v>
      </c>
      <c r="T223" s="98">
        <v>104</v>
      </c>
      <c r="U223" s="98">
        <v>89</v>
      </c>
      <c r="V223" s="98">
        <v>89</v>
      </c>
      <c r="W223" s="98">
        <v>81</v>
      </c>
      <c r="X223" s="98">
        <v>71</v>
      </c>
      <c r="Y223" s="98">
        <v>63</v>
      </c>
      <c r="Z223" s="98">
        <v>58</v>
      </c>
      <c r="AA223" s="98">
        <v>61</v>
      </c>
      <c r="AB223" s="98">
        <v>58</v>
      </c>
      <c r="AC223" s="98">
        <v>59</v>
      </c>
      <c r="AD223" s="98">
        <v>55</v>
      </c>
      <c r="AE223" s="98">
        <v>55</v>
      </c>
      <c r="AF223" s="98">
        <v>54</v>
      </c>
      <c r="AG223" s="98">
        <v>45</v>
      </c>
    </row>
    <row r="224" spans="1:33" x14ac:dyDescent="0.3">
      <c r="A224" s="7">
        <v>219</v>
      </c>
      <c r="B224" s="7" t="s">
        <v>608</v>
      </c>
      <c r="C224" s="7" t="s">
        <v>469</v>
      </c>
      <c r="D224" s="8">
        <f>'CDC Source Data'!D33</f>
        <v>117508</v>
      </c>
      <c r="E224" s="8">
        <f>'CDC Source Data'!E33</f>
        <v>25</v>
      </c>
      <c r="F224" s="31">
        <f t="shared" si="3"/>
        <v>21.384377049336134</v>
      </c>
      <c r="G224" s="9">
        <f>'CDC Source Data'!F33</f>
        <v>0.08</v>
      </c>
      <c r="H224" s="7" t="str">
        <f>'CDC Source Data'!G33</f>
        <v>Completeness of provisional 2019 data under 90% after 6 months.</v>
      </c>
      <c r="I224" s="97">
        <v>23.2</v>
      </c>
      <c r="J224" s="97">
        <v>24.2</v>
      </c>
      <c r="K224" s="98">
        <v>23</v>
      </c>
      <c r="L224" s="98">
        <v>32</v>
      </c>
      <c r="M224" s="98">
        <v>31</v>
      </c>
      <c r="N224" s="98">
        <v>34</v>
      </c>
      <c r="O224" s="98">
        <v>43</v>
      </c>
      <c r="P224" s="98">
        <v>46</v>
      </c>
      <c r="Q224" s="98">
        <v>44</v>
      </c>
      <c r="R224" s="98">
        <v>48</v>
      </c>
      <c r="S224" s="98">
        <v>37</v>
      </c>
      <c r="T224" s="98">
        <v>36</v>
      </c>
      <c r="U224" s="98">
        <v>43</v>
      </c>
      <c r="V224" s="98">
        <v>40</v>
      </c>
      <c r="W224" s="98">
        <v>49</v>
      </c>
      <c r="X224" s="98">
        <v>51</v>
      </c>
      <c r="Y224" s="98">
        <v>44</v>
      </c>
      <c r="Z224" s="98">
        <v>50</v>
      </c>
      <c r="AA224" s="98">
        <v>43</v>
      </c>
      <c r="AB224" s="98">
        <v>40</v>
      </c>
      <c r="AC224" s="98">
        <v>46</v>
      </c>
      <c r="AD224" s="98">
        <v>40</v>
      </c>
      <c r="AE224" s="98">
        <v>38</v>
      </c>
      <c r="AF224" s="98">
        <v>29</v>
      </c>
      <c r="AG224" s="98">
        <v>25</v>
      </c>
    </row>
    <row r="225" spans="1:33" x14ac:dyDescent="0.3">
      <c r="A225" s="7">
        <v>220</v>
      </c>
      <c r="B225" s="7" t="s">
        <v>40</v>
      </c>
      <c r="C225" s="7" t="s">
        <v>604</v>
      </c>
      <c r="D225" s="8">
        <f>'CDC Source Data'!D268</f>
        <v>253948</v>
      </c>
      <c r="E225" s="8">
        <f>'CDC Source Data'!E268</f>
        <v>54</v>
      </c>
      <c r="F225" s="31">
        <f t="shared" si="3"/>
        <v>21.275147224018792</v>
      </c>
      <c r="G225" s="9">
        <f>'CDC Source Data'!F268</f>
        <v>0.24</v>
      </c>
      <c r="H225" s="7">
        <f>'CDC Source Data'!G268</f>
        <v>0</v>
      </c>
      <c r="I225" s="97">
        <v>18.600000000000001</v>
      </c>
      <c r="J225" s="97">
        <v>19.399999999999999</v>
      </c>
      <c r="K225" s="98">
        <v>32</v>
      </c>
      <c r="L225" s="98">
        <v>38</v>
      </c>
      <c r="M225" s="98">
        <v>48</v>
      </c>
      <c r="N225" s="98">
        <v>59</v>
      </c>
      <c r="O225" s="98">
        <v>72</v>
      </c>
      <c r="P225" s="98">
        <v>74</v>
      </c>
      <c r="Q225" s="98">
        <v>77</v>
      </c>
      <c r="R225" s="98">
        <v>72</v>
      </c>
      <c r="S225" s="98">
        <v>66</v>
      </c>
      <c r="T225" s="98">
        <v>66</v>
      </c>
      <c r="U225" s="98">
        <v>64</v>
      </c>
      <c r="V225" s="98">
        <v>65</v>
      </c>
      <c r="W225" s="98">
        <v>66</v>
      </c>
      <c r="X225" s="98">
        <v>66</v>
      </c>
      <c r="Y225" s="98">
        <v>68</v>
      </c>
      <c r="Z225" s="98">
        <v>60</v>
      </c>
      <c r="AA225" s="98">
        <v>55</v>
      </c>
      <c r="AB225" s="98">
        <v>62</v>
      </c>
      <c r="AC225" s="98">
        <v>51</v>
      </c>
      <c r="AD225" s="98">
        <v>56</v>
      </c>
      <c r="AE225" s="98">
        <v>60</v>
      </c>
      <c r="AF225" s="98">
        <v>49</v>
      </c>
      <c r="AG225" s="98">
        <v>54</v>
      </c>
    </row>
    <row r="226" spans="1:33" x14ac:dyDescent="0.3">
      <c r="A226" s="7">
        <v>221</v>
      </c>
      <c r="B226" s="7" t="s">
        <v>609</v>
      </c>
      <c r="C226" s="7" t="s">
        <v>610</v>
      </c>
      <c r="D226" s="8">
        <f>'CDC Source Data'!D294</f>
        <v>188323</v>
      </c>
      <c r="E226" s="8">
        <f>'CDC Source Data'!E294</f>
        <v>40</v>
      </c>
      <c r="F226" s="31">
        <f t="shared" si="3"/>
        <v>21.264195819616614</v>
      </c>
      <c r="G226" s="9">
        <f>'CDC Source Data'!F294</f>
        <v>0</v>
      </c>
      <c r="H226" s="7">
        <f>'CDC Source Data'!G294</f>
        <v>0</v>
      </c>
      <c r="I226" s="97">
        <v>14.8</v>
      </c>
      <c r="J226" s="97">
        <v>15.4</v>
      </c>
      <c r="K226" s="98">
        <v>24</v>
      </c>
      <c r="L226" s="98">
        <v>29</v>
      </c>
      <c r="M226" s="98">
        <v>37</v>
      </c>
      <c r="N226" s="98">
        <v>34</v>
      </c>
      <c r="O226" s="98">
        <v>32</v>
      </c>
      <c r="P226" s="98">
        <v>36</v>
      </c>
      <c r="Q226" s="98">
        <v>34</v>
      </c>
      <c r="R226" s="98">
        <v>35</v>
      </c>
      <c r="S226" s="98">
        <v>35</v>
      </c>
      <c r="T226" s="98">
        <v>33</v>
      </c>
      <c r="U226" s="98">
        <v>37</v>
      </c>
      <c r="V226" s="98">
        <v>40</v>
      </c>
      <c r="W226" s="98">
        <v>41</v>
      </c>
      <c r="X226" s="98">
        <v>38</v>
      </c>
      <c r="Y226" s="98">
        <v>31</v>
      </c>
      <c r="Z226" s="98">
        <v>30</v>
      </c>
      <c r="AA226" s="98">
        <v>29</v>
      </c>
      <c r="AB226" s="98">
        <v>40</v>
      </c>
      <c r="AC226" s="98">
        <v>41</v>
      </c>
      <c r="AD226" s="98">
        <v>38</v>
      </c>
      <c r="AE226" s="98">
        <v>41</v>
      </c>
      <c r="AF226" s="98">
        <v>36</v>
      </c>
      <c r="AG226" s="98">
        <v>40</v>
      </c>
    </row>
    <row r="227" spans="1:33" x14ac:dyDescent="0.3">
      <c r="A227" s="7">
        <v>222</v>
      </c>
      <c r="B227" s="7" t="s">
        <v>611</v>
      </c>
      <c r="C227" s="7" t="s">
        <v>543</v>
      </c>
      <c r="D227" s="8">
        <f>'CDC Source Data'!D453</f>
        <v>675912</v>
      </c>
      <c r="E227" s="8">
        <f>'CDC Source Data'!E453</f>
        <v>143</v>
      </c>
      <c r="F227" s="31">
        <f t="shared" si="3"/>
        <v>21.240103439303748</v>
      </c>
      <c r="G227" s="9">
        <f>'CDC Source Data'!F453</f>
        <v>0.28999999999999998</v>
      </c>
      <c r="H227" s="7">
        <f>'CDC Source Data'!G453</f>
        <v>0</v>
      </c>
      <c r="I227" s="97">
        <v>31.6</v>
      </c>
      <c r="J227" s="97">
        <v>33</v>
      </c>
      <c r="K227" s="98">
        <v>212</v>
      </c>
      <c r="L227" s="98">
        <v>222</v>
      </c>
      <c r="M227" s="98">
        <v>259</v>
      </c>
      <c r="N227" s="98">
        <v>265</v>
      </c>
      <c r="O227" s="98">
        <v>269</v>
      </c>
      <c r="P227" s="98">
        <v>278</v>
      </c>
      <c r="Q227" s="98">
        <v>282</v>
      </c>
      <c r="R227" s="98">
        <v>312</v>
      </c>
      <c r="S227" s="98">
        <v>330</v>
      </c>
      <c r="T227" s="98">
        <v>316</v>
      </c>
      <c r="U227" s="98">
        <v>293</v>
      </c>
      <c r="V227" s="98">
        <v>284</v>
      </c>
      <c r="W227" s="98">
        <v>284</v>
      </c>
      <c r="X227" s="98">
        <v>293</v>
      </c>
      <c r="Y227" s="98">
        <v>295</v>
      </c>
      <c r="Z227" s="98">
        <v>288</v>
      </c>
      <c r="AA227" s="98">
        <v>269</v>
      </c>
      <c r="AB227" s="98">
        <v>264</v>
      </c>
      <c r="AC227" s="98">
        <v>248</v>
      </c>
      <c r="AD227" s="98">
        <v>211</v>
      </c>
      <c r="AE227" s="98">
        <v>199</v>
      </c>
      <c r="AF227" s="98">
        <v>167</v>
      </c>
      <c r="AG227" s="98">
        <v>143</v>
      </c>
    </row>
    <row r="228" spans="1:33" x14ac:dyDescent="0.3">
      <c r="A228" s="7">
        <v>223</v>
      </c>
      <c r="B228" s="7" t="s">
        <v>612</v>
      </c>
      <c r="C228" s="7" t="s">
        <v>590</v>
      </c>
      <c r="D228" s="8">
        <f>'CDC Source Data'!D243</f>
        <v>430462</v>
      </c>
      <c r="E228" s="8">
        <f>'CDC Source Data'!E243</f>
        <v>91</v>
      </c>
      <c r="F228" s="31">
        <f t="shared" si="3"/>
        <v>21.156600267490443</v>
      </c>
      <c r="G228" s="9">
        <f>'CDC Source Data'!F243</f>
        <v>0.03</v>
      </c>
      <c r="H228" s="7" t="str">
        <f>'CDC Source Data'!G243</f>
        <v>Completeness of provisional 2019 data under 90% after 6 months.</v>
      </c>
      <c r="I228" s="97">
        <v>30.2</v>
      </c>
      <c r="J228" s="97">
        <v>31.6</v>
      </c>
      <c r="K228" s="98">
        <v>143</v>
      </c>
      <c r="L228" s="98">
        <v>146</v>
      </c>
      <c r="M228" s="98">
        <v>139</v>
      </c>
      <c r="N228" s="98">
        <v>136</v>
      </c>
      <c r="O228" s="98">
        <v>129</v>
      </c>
      <c r="P228" s="98">
        <v>129</v>
      </c>
      <c r="Q228" s="98">
        <v>145</v>
      </c>
      <c r="R228" s="98">
        <v>150</v>
      </c>
      <c r="S228" s="98">
        <v>169</v>
      </c>
      <c r="T228" s="98">
        <v>169</v>
      </c>
      <c r="U228" s="98">
        <v>178</v>
      </c>
      <c r="V228" s="98">
        <v>186</v>
      </c>
      <c r="W228" s="98">
        <v>190</v>
      </c>
      <c r="X228" s="98">
        <v>192</v>
      </c>
      <c r="Y228" s="98">
        <v>174</v>
      </c>
      <c r="Z228" s="98">
        <v>160</v>
      </c>
      <c r="AA228" s="98">
        <v>133</v>
      </c>
      <c r="AB228" s="98">
        <v>124</v>
      </c>
      <c r="AC228" s="98">
        <v>116</v>
      </c>
      <c r="AD228" s="98">
        <v>105</v>
      </c>
      <c r="AE228" s="98">
        <v>94</v>
      </c>
      <c r="AF228" s="98">
        <v>94</v>
      </c>
      <c r="AG228" s="98">
        <v>91</v>
      </c>
    </row>
    <row r="229" spans="1:33" x14ac:dyDescent="0.3">
      <c r="A229" s="7">
        <v>224</v>
      </c>
      <c r="B229" s="7" t="s">
        <v>613</v>
      </c>
      <c r="C229" s="7" t="s">
        <v>32</v>
      </c>
      <c r="D229" s="8">
        <f>'CDC Source Data'!D424</f>
        <v>118305</v>
      </c>
      <c r="E229" s="8">
        <f>'CDC Source Data'!E424</f>
        <v>25</v>
      </c>
      <c r="F229" s="31">
        <f t="shared" si="3"/>
        <v>21.140077405206501</v>
      </c>
      <c r="G229" s="9">
        <f>'CDC Source Data'!F424</f>
        <v>0.84</v>
      </c>
      <c r="H229" s="7">
        <f>'CDC Source Data'!G424</f>
        <v>0</v>
      </c>
      <c r="I229" s="97">
        <v>20.3</v>
      </c>
      <c r="J229" s="97">
        <v>21.1</v>
      </c>
      <c r="K229" s="98">
        <v>30</v>
      </c>
      <c r="L229" s="98">
        <v>38</v>
      </c>
      <c r="M229" s="98">
        <v>37</v>
      </c>
      <c r="N229" s="98">
        <v>36</v>
      </c>
      <c r="O229" s="98">
        <v>40</v>
      </c>
      <c r="P229" s="98">
        <v>41</v>
      </c>
      <c r="Q229" s="98">
        <v>41</v>
      </c>
      <c r="R229" s="98">
        <v>43</v>
      </c>
      <c r="S229" s="98">
        <v>41</v>
      </c>
      <c r="T229" s="98">
        <v>35</v>
      </c>
      <c r="U229" s="98">
        <v>33</v>
      </c>
      <c r="V229" s="98">
        <v>38</v>
      </c>
      <c r="W229" s="98">
        <v>41</v>
      </c>
      <c r="X229" s="98">
        <v>34</v>
      </c>
      <c r="Y229" s="98">
        <v>36</v>
      </c>
      <c r="Z229" s="98">
        <v>25</v>
      </c>
      <c r="AA229" s="98">
        <v>28</v>
      </c>
      <c r="AB229" s="98">
        <v>32</v>
      </c>
      <c r="AC229" s="98">
        <v>27</v>
      </c>
      <c r="AD229" s="98">
        <v>32</v>
      </c>
      <c r="AE229" s="98">
        <v>28</v>
      </c>
      <c r="AF229" s="98">
        <v>26</v>
      </c>
      <c r="AG229" s="98">
        <v>25</v>
      </c>
    </row>
    <row r="230" spans="1:33" x14ac:dyDescent="0.3">
      <c r="A230" s="7">
        <v>225</v>
      </c>
      <c r="B230" s="7" t="s">
        <v>614</v>
      </c>
      <c r="C230" s="7" t="s">
        <v>19</v>
      </c>
      <c r="D230" s="8">
        <f>'CDC Source Data'!D330</f>
        <v>331379</v>
      </c>
      <c r="E230" s="8">
        <f>'CDC Source Data'!E330</f>
        <v>70</v>
      </c>
      <c r="F230" s="31">
        <f t="shared" si="3"/>
        <v>21.131820295000214</v>
      </c>
      <c r="G230" s="9">
        <f>'CDC Source Data'!F330</f>
        <v>0.03</v>
      </c>
      <c r="H230" s="7" t="str">
        <f>'CDC Source Data'!G330</f>
        <v>Completeness of provisional 2019 data under 90% after 6 months.</v>
      </c>
      <c r="I230" s="97">
        <v>36</v>
      </c>
      <c r="J230" s="97">
        <v>37.6</v>
      </c>
      <c r="K230" s="98">
        <v>142</v>
      </c>
      <c r="L230" s="98">
        <v>147</v>
      </c>
      <c r="M230" s="98">
        <v>146</v>
      </c>
      <c r="N230" s="98">
        <v>169</v>
      </c>
      <c r="O230" s="98">
        <v>193</v>
      </c>
      <c r="P230" s="98">
        <v>195</v>
      </c>
      <c r="Q230" s="98">
        <v>216</v>
      </c>
      <c r="R230" s="98">
        <v>212</v>
      </c>
      <c r="S230" s="98">
        <v>202</v>
      </c>
      <c r="T230" s="98">
        <v>197</v>
      </c>
      <c r="U230" s="98">
        <v>185</v>
      </c>
      <c r="V230" s="98">
        <v>166</v>
      </c>
      <c r="W230" s="98">
        <v>167</v>
      </c>
      <c r="X230" s="98">
        <v>150</v>
      </c>
      <c r="Y230" s="98">
        <v>139</v>
      </c>
      <c r="Z230" s="98">
        <v>139</v>
      </c>
      <c r="AA230" s="98">
        <v>116</v>
      </c>
      <c r="AB230" s="98">
        <v>119</v>
      </c>
      <c r="AC230" s="98">
        <v>102</v>
      </c>
      <c r="AD230" s="98">
        <v>82</v>
      </c>
      <c r="AE230" s="98">
        <v>86</v>
      </c>
      <c r="AF230" s="98">
        <v>69</v>
      </c>
      <c r="AG230" s="98">
        <v>70</v>
      </c>
    </row>
    <row r="231" spans="1:33" x14ac:dyDescent="0.3">
      <c r="A231" s="7">
        <v>226</v>
      </c>
      <c r="B231" s="7" t="s">
        <v>615</v>
      </c>
      <c r="C231" s="7" t="s">
        <v>24</v>
      </c>
      <c r="D231" s="8">
        <f>'CDC Source Data'!D27</f>
        <v>133534</v>
      </c>
      <c r="E231" s="8">
        <f>'CDC Source Data'!E27</f>
        <v>28</v>
      </c>
      <c r="F231" s="31">
        <f t="shared" si="3"/>
        <v>21.123849127434145</v>
      </c>
      <c r="G231" s="9">
        <f>'CDC Source Data'!F27</f>
        <v>0</v>
      </c>
      <c r="H231" s="7">
        <f>'CDC Source Data'!G27</f>
        <v>0</v>
      </c>
      <c r="I231" s="97">
        <v>23.8</v>
      </c>
      <c r="J231" s="97">
        <v>24.8</v>
      </c>
      <c r="K231" s="98">
        <v>40</v>
      </c>
      <c r="L231" s="98">
        <v>50</v>
      </c>
      <c r="M231" s="98">
        <v>45</v>
      </c>
      <c r="N231" s="98">
        <v>53</v>
      </c>
      <c r="O231" s="98">
        <v>54</v>
      </c>
      <c r="P231" s="98">
        <v>60</v>
      </c>
      <c r="Q231" s="98">
        <v>68</v>
      </c>
      <c r="R231" s="98">
        <v>69</v>
      </c>
      <c r="S231" s="98">
        <v>71</v>
      </c>
      <c r="T231" s="98">
        <v>72</v>
      </c>
      <c r="U231" s="98">
        <v>71</v>
      </c>
      <c r="V231" s="98">
        <v>77</v>
      </c>
      <c r="W231" s="98">
        <v>74</v>
      </c>
      <c r="X231" s="98">
        <v>72</v>
      </c>
      <c r="Y231" s="98">
        <v>70</v>
      </c>
      <c r="Z231" s="98">
        <v>59</v>
      </c>
      <c r="AA231" s="98">
        <v>54</v>
      </c>
      <c r="AB231" s="98">
        <v>48</v>
      </c>
      <c r="AC231" s="98">
        <v>44</v>
      </c>
      <c r="AD231" s="98">
        <v>45</v>
      </c>
      <c r="AE231" s="98">
        <v>42</v>
      </c>
      <c r="AF231" s="98">
        <v>34</v>
      </c>
      <c r="AG231" s="98">
        <v>28</v>
      </c>
    </row>
    <row r="232" spans="1:33" x14ac:dyDescent="0.3">
      <c r="A232" s="7">
        <v>227</v>
      </c>
      <c r="B232" s="7" t="s">
        <v>498</v>
      </c>
      <c r="C232" s="7" t="s">
        <v>480</v>
      </c>
      <c r="D232" s="8">
        <f>'CDC Source Data'!D80</f>
        <v>133785</v>
      </c>
      <c r="E232" s="8">
        <f>'CDC Source Data'!E80</f>
        <v>28</v>
      </c>
      <c r="F232" s="31">
        <f t="shared" si="3"/>
        <v>20.96844249404646</v>
      </c>
      <c r="G232" s="9">
        <f>'CDC Source Data'!F80</f>
        <v>0.37</v>
      </c>
      <c r="H232" s="7" t="str">
        <f>'CDC Source Data'!G80</f>
        <v>Completeness of provisional 2019 data under 90% after 6 months.</v>
      </c>
      <c r="I232" s="97">
        <v>34.5</v>
      </c>
      <c r="J232" s="97">
        <v>36</v>
      </c>
      <c r="K232" s="98">
        <v>43</v>
      </c>
      <c r="L232" s="98">
        <v>54</v>
      </c>
      <c r="M232" s="98">
        <v>54</v>
      </c>
      <c r="N232" s="98">
        <v>58</v>
      </c>
      <c r="O232" s="98">
        <v>57</v>
      </c>
      <c r="P232" s="98">
        <v>62</v>
      </c>
      <c r="Q232" s="98">
        <v>65</v>
      </c>
      <c r="R232" s="98">
        <v>64</v>
      </c>
      <c r="S232" s="98">
        <v>64</v>
      </c>
      <c r="T232" s="98">
        <v>54</v>
      </c>
      <c r="U232" s="98">
        <v>48</v>
      </c>
      <c r="V232" s="98">
        <v>51</v>
      </c>
      <c r="W232" s="98">
        <v>51</v>
      </c>
      <c r="X232" s="98">
        <v>48</v>
      </c>
      <c r="Y232" s="98">
        <v>48</v>
      </c>
      <c r="Z232" s="98">
        <v>37</v>
      </c>
      <c r="AA232" s="98">
        <v>32</v>
      </c>
      <c r="AB232" s="98">
        <v>32</v>
      </c>
      <c r="AC232" s="98">
        <v>33</v>
      </c>
      <c r="AD232" s="98">
        <v>34</v>
      </c>
      <c r="AE232" s="98">
        <v>35</v>
      </c>
      <c r="AF232" s="98">
        <v>33</v>
      </c>
      <c r="AG232" s="98">
        <v>28</v>
      </c>
    </row>
    <row r="233" spans="1:33" x14ac:dyDescent="0.3">
      <c r="A233" s="7">
        <v>228</v>
      </c>
      <c r="B233" s="7" t="s">
        <v>464</v>
      </c>
      <c r="C233" s="7" t="s">
        <v>27</v>
      </c>
      <c r="D233" s="8">
        <f>'CDC Source Data'!D583</f>
        <v>139642</v>
      </c>
      <c r="E233" s="8">
        <f>'CDC Source Data'!E583</f>
        <v>29</v>
      </c>
      <c r="F233" s="31">
        <f t="shared" si="3"/>
        <v>20.929102664723249</v>
      </c>
      <c r="G233" s="9">
        <f>'CDC Source Data'!F583</f>
        <v>0.12</v>
      </c>
      <c r="H233" s="7">
        <f>'CDC Source Data'!G583</f>
        <v>0</v>
      </c>
      <c r="I233" s="97">
        <v>27.1</v>
      </c>
      <c r="J233" s="97">
        <v>28.3</v>
      </c>
      <c r="K233" s="98">
        <v>28</v>
      </c>
      <c r="L233" s="98">
        <v>34</v>
      </c>
      <c r="M233" s="98">
        <v>35</v>
      </c>
      <c r="N233" s="98">
        <v>44</v>
      </c>
      <c r="O233" s="98">
        <v>50</v>
      </c>
      <c r="P233" s="98">
        <v>54</v>
      </c>
      <c r="Q233" s="98">
        <v>54</v>
      </c>
      <c r="R233" s="98">
        <v>58</v>
      </c>
      <c r="S233" s="98">
        <v>57</v>
      </c>
      <c r="T233" s="98">
        <v>55</v>
      </c>
      <c r="U233" s="98">
        <v>69</v>
      </c>
      <c r="V233" s="98">
        <v>68</v>
      </c>
      <c r="W233" s="98">
        <v>71</v>
      </c>
      <c r="X233" s="98">
        <v>72</v>
      </c>
      <c r="Y233" s="98">
        <v>61</v>
      </c>
      <c r="Z233" s="98">
        <v>65</v>
      </c>
      <c r="AA233" s="98">
        <v>60</v>
      </c>
      <c r="AB233" s="98">
        <v>59</v>
      </c>
      <c r="AC233" s="98">
        <v>53</v>
      </c>
      <c r="AD233" s="98">
        <v>37</v>
      </c>
      <c r="AE233" s="98">
        <v>33</v>
      </c>
      <c r="AF233" s="98">
        <v>31</v>
      </c>
      <c r="AG233" s="98">
        <v>29</v>
      </c>
    </row>
    <row r="234" spans="1:33" x14ac:dyDescent="0.3">
      <c r="A234" s="7">
        <v>229</v>
      </c>
      <c r="B234" s="7" t="s">
        <v>616</v>
      </c>
      <c r="C234" s="7" t="s">
        <v>458</v>
      </c>
      <c r="D234" s="8">
        <f>'CDC Source Data'!D464</f>
        <v>430651</v>
      </c>
      <c r="E234" s="8">
        <f>'CDC Source Data'!E464</f>
        <v>89</v>
      </c>
      <c r="F234" s="31">
        <f t="shared" si="3"/>
        <v>20.767390899586086</v>
      </c>
      <c r="G234" s="9">
        <f>'CDC Source Data'!F464</f>
        <v>0.11</v>
      </c>
      <c r="H234" s="7" t="str">
        <f>'CDC Source Data'!G464</f>
        <v>Completeness of provisional 2019 data under 90% after 6 months.</v>
      </c>
      <c r="I234" s="97">
        <v>16.399999999999999</v>
      </c>
      <c r="J234" s="97">
        <v>17.100000000000001</v>
      </c>
      <c r="K234" s="98">
        <v>70</v>
      </c>
      <c r="L234" s="98">
        <v>88</v>
      </c>
      <c r="M234" s="98">
        <v>105</v>
      </c>
      <c r="N234" s="98">
        <v>102</v>
      </c>
      <c r="O234" s="98">
        <v>106</v>
      </c>
      <c r="P234" s="98">
        <v>101</v>
      </c>
      <c r="Q234" s="98">
        <v>103</v>
      </c>
      <c r="R234" s="98">
        <v>114</v>
      </c>
      <c r="S234" s="98">
        <v>127</v>
      </c>
      <c r="T234" s="98">
        <v>118</v>
      </c>
      <c r="U234" s="98">
        <v>123</v>
      </c>
      <c r="V234" s="98">
        <v>130</v>
      </c>
      <c r="W234" s="98">
        <v>120</v>
      </c>
      <c r="X234" s="98">
        <v>129</v>
      </c>
      <c r="Y234" s="98">
        <v>123</v>
      </c>
      <c r="Z234" s="98">
        <v>113</v>
      </c>
      <c r="AA234" s="98">
        <v>108</v>
      </c>
      <c r="AB234" s="98">
        <v>97</v>
      </c>
      <c r="AC234" s="98">
        <v>83</v>
      </c>
      <c r="AD234" s="98">
        <v>80</v>
      </c>
      <c r="AE234" s="98">
        <v>83</v>
      </c>
      <c r="AF234" s="98">
        <v>87</v>
      </c>
      <c r="AG234" s="98">
        <v>89</v>
      </c>
    </row>
    <row r="235" spans="1:33" x14ac:dyDescent="0.3">
      <c r="A235" s="7">
        <v>230</v>
      </c>
      <c r="B235" s="7" t="s">
        <v>617</v>
      </c>
      <c r="C235" s="7" t="s">
        <v>47</v>
      </c>
      <c r="D235" s="8">
        <f>'CDC Source Data'!D552</f>
        <v>271134</v>
      </c>
      <c r="E235" s="8">
        <f>'CDC Source Data'!E552</f>
        <v>56</v>
      </c>
      <c r="F235" s="31">
        <f t="shared" si="3"/>
        <v>20.666386470715267</v>
      </c>
      <c r="G235" s="9">
        <f>'CDC Source Data'!F552</f>
        <v>0.03</v>
      </c>
      <c r="H235" s="7" t="str">
        <f>'CDC Source Data'!G552</f>
        <v>Completeness of provisional 2019 data under 90% after 6 months.</v>
      </c>
      <c r="I235" s="97">
        <v>28.8</v>
      </c>
      <c r="J235" s="97">
        <v>30.1</v>
      </c>
      <c r="K235" s="98">
        <v>122</v>
      </c>
      <c r="L235" s="98">
        <v>130</v>
      </c>
      <c r="M235" s="98">
        <v>127</v>
      </c>
      <c r="N235" s="98">
        <v>120</v>
      </c>
      <c r="O235" s="98">
        <v>106</v>
      </c>
      <c r="P235" s="98">
        <v>92</v>
      </c>
      <c r="Q235" s="98">
        <v>89</v>
      </c>
      <c r="R235" s="98">
        <v>103</v>
      </c>
      <c r="S235" s="98">
        <v>106</v>
      </c>
      <c r="T235" s="98">
        <v>114</v>
      </c>
      <c r="U235" s="98">
        <v>122</v>
      </c>
      <c r="V235" s="98">
        <v>130</v>
      </c>
      <c r="W235" s="98">
        <v>134</v>
      </c>
      <c r="X235" s="98">
        <v>137</v>
      </c>
      <c r="Y235" s="98">
        <v>141</v>
      </c>
      <c r="Z235" s="98">
        <v>132</v>
      </c>
      <c r="AA235" s="98">
        <v>114</v>
      </c>
      <c r="AB235" s="98">
        <v>95</v>
      </c>
      <c r="AC235" s="98">
        <v>77</v>
      </c>
      <c r="AD235" s="98">
        <v>61</v>
      </c>
      <c r="AE235" s="98">
        <v>58</v>
      </c>
      <c r="AF235" s="98">
        <v>63</v>
      </c>
      <c r="AG235" s="98">
        <v>56</v>
      </c>
    </row>
    <row r="236" spans="1:33" x14ac:dyDescent="0.3">
      <c r="A236" s="7">
        <v>231</v>
      </c>
      <c r="B236" s="7" t="s">
        <v>618</v>
      </c>
      <c r="C236" s="7" t="s">
        <v>469</v>
      </c>
      <c r="D236" s="8">
        <f>'CDC Source Data'!D204</f>
        <v>1090354</v>
      </c>
      <c r="E236" s="8">
        <f>'CDC Source Data'!E204</f>
        <v>225</v>
      </c>
      <c r="F236" s="31">
        <f t="shared" si="3"/>
        <v>20.653993966083192</v>
      </c>
      <c r="G236" s="9">
        <f>'CDC Source Data'!F204</f>
        <v>0.01</v>
      </c>
      <c r="H236" s="7" t="str">
        <f>'CDC Source Data'!G204</f>
        <v>Completeness of provisional 2019 data under 90% after 6 months.</v>
      </c>
      <c r="I236" s="97">
        <v>17.100000000000001</v>
      </c>
      <c r="J236" s="97">
        <v>17.899999999999999</v>
      </c>
      <c r="K236" s="98">
        <v>165</v>
      </c>
      <c r="L236" s="98">
        <v>183</v>
      </c>
      <c r="M236" s="98">
        <v>207</v>
      </c>
      <c r="N236" s="98">
        <v>205</v>
      </c>
      <c r="O236" s="98">
        <v>224</v>
      </c>
      <c r="P236" s="98">
        <v>242</v>
      </c>
      <c r="Q236" s="98">
        <v>251</v>
      </c>
      <c r="R236" s="98">
        <v>283</v>
      </c>
      <c r="S236" s="98">
        <v>290</v>
      </c>
      <c r="T236" s="98">
        <v>284</v>
      </c>
      <c r="U236" s="98">
        <v>284</v>
      </c>
      <c r="V236" s="98">
        <v>291</v>
      </c>
      <c r="W236" s="98">
        <v>281</v>
      </c>
      <c r="X236" s="98">
        <v>290</v>
      </c>
      <c r="Y236" s="98">
        <v>292</v>
      </c>
      <c r="Z236" s="98">
        <v>317</v>
      </c>
      <c r="AA236" s="98">
        <v>304</v>
      </c>
      <c r="AB236" s="98">
        <v>285</v>
      </c>
      <c r="AC236" s="98">
        <v>272</v>
      </c>
      <c r="AD236" s="98">
        <v>236</v>
      </c>
      <c r="AE236" s="98">
        <v>236</v>
      </c>
      <c r="AF236" s="98">
        <v>236</v>
      </c>
      <c r="AG236" s="98">
        <v>225</v>
      </c>
    </row>
    <row r="237" spans="1:33" x14ac:dyDescent="0.3">
      <c r="A237" s="7">
        <v>232</v>
      </c>
      <c r="B237" s="7" t="s">
        <v>619</v>
      </c>
      <c r="C237" s="7" t="s">
        <v>27</v>
      </c>
      <c r="D237" s="8">
        <f>'CDC Source Data'!D610</f>
        <v>169948</v>
      </c>
      <c r="E237" s="8">
        <f>'CDC Source Data'!E610</f>
        <v>35</v>
      </c>
      <c r="F237" s="31">
        <f t="shared" si="3"/>
        <v>20.635500030265401</v>
      </c>
      <c r="G237" s="9">
        <f>'CDC Source Data'!F610</f>
        <v>0</v>
      </c>
      <c r="H237" s="7">
        <f>'CDC Source Data'!G610</f>
        <v>0</v>
      </c>
      <c r="I237" s="97">
        <v>28.4</v>
      </c>
      <c r="J237" s="97">
        <v>29.6</v>
      </c>
      <c r="K237" s="98">
        <v>68</v>
      </c>
      <c r="L237" s="98">
        <v>77</v>
      </c>
      <c r="M237" s="98">
        <v>70</v>
      </c>
      <c r="N237" s="98">
        <v>79</v>
      </c>
      <c r="O237" s="98">
        <v>78</v>
      </c>
      <c r="P237" s="98">
        <v>70</v>
      </c>
      <c r="Q237" s="98">
        <v>76</v>
      </c>
      <c r="R237" s="98">
        <v>63</v>
      </c>
      <c r="S237" s="98">
        <v>60</v>
      </c>
      <c r="T237" s="98">
        <v>60</v>
      </c>
      <c r="U237" s="98">
        <v>66</v>
      </c>
      <c r="V237" s="98">
        <v>68</v>
      </c>
      <c r="W237" s="98">
        <v>68</v>
      </c>
      <c r="X237" s="98">
        <v>61</v>
      </c>
      <c r="Y237" s="98">
        <v>62</v>
      </c>
      <c r="Z237" s="98">
        <v>68</v>
      </c>
      <c r="AA237" s="98">
        <v>58</v>
      </c>
      <c r="AB237" s="98">
        <v>56</v>
      </c>
      <c r="AC237" s="98">
        <v>44</v>
      </c>
      <c r="AD237" s="98">
        <v>32</v>
      </c>
      <c r="AE237" s="98">
        <v>32</v>
      </c>
      <c r="AF237" s="98">
        <v>31</v>
      </c>
      <c r="AG237" s="98">
        <v>35</v>
      </c>
    </row>
    <row r="238" spans="1:33" x14ac:dyDescent="0.3">
      <c r="A238" s="7">
        <v>233</v>
      </c>
      <c r="B238" s="7" t="s">
        <v>620</v>
      </c>
      <c r="C238" s="7" t="s">
        <v>11</v>
      </c>
      <c r="D238" s="8">
        <f>'CDC Source Data'!D23</f>
        <v>602350</v>
      </c>
      <c r="E238" s="8">
        <f>'CDC Source Data'!E23</f>
        <v>124</v>
      </c>
      <c r="F238" s="31">
        <f t="shared" si="3"/>
        <v>20.594534798879657</v>
      </c>
      <c r="G238" s="9">
        <f>'CDC Source Data'!F23</f>
        <v>0.02</v>
      </c>
      <c r="H238" s="7">
        <f>'CDC Source Data'!G23</f>
        <v>0</v>
      </c>
      <c r="I238" s="97">
        <v>31.5</v>
      </c>
      <c r="J238" s="97">
        <v>32.9</v>
      </c>
      <c r="K238" s="98">
        <v>261</v>
      </c>
      <c r="L238" s="98">
        <v>258</v>
      </c>
      <c r="M238" s="98">
        <v>254</v>
      </c>
      <c r="N238" s="98">
        <v>275</v>
      </c>
      <c r="O238" s="98">
        <v>279</v>
      </c>
      <c r="P238" s="98">
        <v>283</v>
      </c>
      <c r="Q238" s="98">
        <v>266</v>
      </c>
      <c r="R238" s="98">
        <v>248</v>
      </c>
      <c r="S238" s="98">
        <v>244</v>
      </c>
      <c r="T238" s="98">
        <v>220</v>
      </c>
      <c r="U238" s="98">
        <v>216</v>
      </c>
      <c r="V238" s="98">
        <v>214</v>
      </c>
      <c r="W238" s="98">
        <v>191</v>
      </c>
      <c r="X238" s="98">
        <v>200</v>
      </c>
      <c r="Y238" s="98">
        <v>188</v>
      </c>
      <c r="Z238" s="98">
        <v>207</v>
      </c>
      <c r="AA238" s="98">
        <v>204</v>
      </c>
      <c r="AB238" s="98">
        <v>191</v>
      </c>
      <c r="AC238" s="98">
        <v>180</v>
      </c>
      <c r="AD238" s="98">
        <v>145</v>
      </c>
      <c r="AE238" s="98">
        <v>140</v>
      </c>
      <c r="AF238" s="98">
        <v>129</v>
      </c>
      <c r="AG238" s="98">
        <v>124</v>
      </c>
    </row>
    <row r="239" spans="1:33" x14ac:dyDescent="0.3">
      <c r="A239" s="7">
        <v>234</v>
      </c>
      <c r="B239" s="7" t="s">
        <v>621</v>
      </c>
      <c r="C239" s="7" t="s">
        <v>453</v>
      </c>
      <c r="D239" s="8">
        <f>'CDC Source Data'!D615</f>
        <v>881248</v>
      </c>
      <c r="E239" s="8">
        <f>'CDC Source Data'!E615</f>
        <v>181</v>
      </c>
      <c r="F239" s="31">
        <f t="shared" si="3"/>
        <v>20.586038017763759</v>
      </c>
      <c r="G239" s="9">
        <f>'CDC Source Data'!F615</f>
        <v>0.12</v>
      </c>
      <c r="H239" s="7">
        <f>'CDC Source Data'!G615</f>
        <v>0</v>
      </c>
      <c r="I239" s="97">
        <v>26.6</v>
      </c>
      <c r="J239" s="97">
        <v>27.8</v>
      </c>
      <c r="K239" s="98">
        <v>298</v>
      </c>
      <c r="L239" s="98">
        <v>303</v>
      </c>
      <c r="M239" s="98">
        <v>309</v>
      </c>
      <c r="N239" s="98">
        <v>308</v>
      </c>
      <c r="O239" s="98">
        <v>284</v>
      </c>
      <c r="P239" s="98">
        <v>286</v>
      </c>
      <c r="Q239" s="98">
        <v>310</v>
      </c>
      <c r="R239" s="98">
        <v>329</v>
      </c>
      <c r="S239" s="98">
        <v>344</v>
      </c>
      <c r="T239" s="98">
        <v>367</v>
      </c>
      <c r="U239" s="98">
        <v>369</v>
      </c>
      <c r="V239" s="98">
        <v>372</v>
      </c>
      <c r="W239" s="98">
        <v>377</v>
      </c>
      <c r="X239" s="98">
        <v>347</v>
      </c>
      <c r="Y239" s="98">
        <v>322</v>
      </c>
      <c r="Z239" s="98">
        <v>303</v>
      </c>
      <c r="AA239" s="98">
        <v>276</v>
      </c>
      <c r="AB239" s="98">
        <v>259</v>
      </c>
      <c r="AC239" s="98">
        <v>226</v>
      </c>
      <c r="AD239" s="98">
        <v>214</v>
      </c>
      <c r="AE239" s="98">
        <v>191</v>
      </c>
      <c r="AF239" s="98">
        <v>179</v>
      </c>
      <c r="AG239" s="98">
        <v>181</v>
      </c>
    </row>
    <row r="240" spans="1:33" x14ac:dyDescent="0.3">
      <c r="A240" s="7">
        <v>235</v>
      </c>
      <c r="B240" s="7" t="s">
        <v>557</v>
      </c>
      <c r="C240" s="7" t="s">
        <v>453</v>
      </c>
      <c r="D240" s="8">
        <f>'CDC Source Data'!D181</f>
        <v>823938</v>
      </c>
      <c r="E240" s="8">
        <f>'CDC Source Data'!E181</f>
        <v>169</v>
      </c>
      <c r="F240" s="31">
        <f t="shared" si="3"/>
        <v>20.539053705653799</v>
      </c>
      <c r="G240" s="9">
        <f>'CDC Source Data'!F181</f>
        <v>0.08</v>
      </c>
      <c r="H240" s="7">
        <f>'CDC Source Data'!G181</f>
        <v>0</v>
      </c>
      <c r="I240" s="97">
        <v>29.4</v>
      </c>
      <c r="J240" s="97">
        <v>30.7</v>
      </c>
      <c r="K240" s="98">
        <v>293</v>
      </c>
      <c r="L240" s="98">
        <v>289</v>
      </c>
      <c r="M240" s="98">
        <v>283</v>
      </c>
      <c r="N240" s="98">
        <v>274</v>
      </c>
      <c r="O240" s="98">
        <v>279</v>
      </c>
      <c r="P240" s="98">
        <v>287</v>
      </c>
      <c r="Q240" s="98">
        <v>308</v>
      </c>
      <c r="R240" s="98">
        <v>319</v>
      </c>
      <c r="S240" s="98">
        <v>321</v>
      </c>
      <c r="T240" s="98">
        <v>315</v>
      </c>
      <c r="U240" s="98">
        <v>309</v>
      </c>
      <c r="V240" s="98">
        <v>300</v>
      </c>
      <c r="W240" s="98">
        <v>292</v>
      </c>
      <c r="X240" s="98">
        <v>285</v>
      </c>
      <c r="Y240" s="98">
        <v>264</v>
      </c>
      <c r="Z240" s="98">
        <v>250</v>
      </c>
      <c r="AA240" s="98">
        <v>248</v>
      </c>
      <c r="AB240" s="98">
        <v>223</v>
      </c>
      <c r="AC240" s="98">
        <v>211</v>
      </c>
      <c r="AD240" s="98">
        <v>192</v>
      </c>
      <c r="AE240" s="98">
        <v>181</v>
      </c>
      <c r="AF240" s="98">
        <v>176</v>
      </c>
      <c r="AG240" s="98">
        <v>169</v>
      </c>
    </row>
    <row r="241" spans="1:33" x14ac:dyDescent="0.3">
      <c r="A241" s="7">
        <v>236</v>
      </c>
      <c r="B241" s="7" t="s">
        <v>622</v>
      </c>
      <c r="C241" s="7" t="s">
        <v>623</v>
      </c>
      <c r="D241" s="8">
        <f>'CDC Source Data'!D621</f>
        <v>171583</v>
      </c>
      <c r="E241" s="8">
        <f>'CDC Source Data'!E621</f>
        <v>35</v>
      </c>
      <c r="F241" s="31">
        <f t="shared" si="3"/>
        <v>20.511252060227832</v>
      </c>
      <c r="G241" s="9">
        <f>'CDC Source Data'!F621</f>
        <v>0</v>
      </c>
      <c r="H241" s="7" t="str">
        <f>'CDC Source Data'!G621</f>
        <v>Completeness of provisional 2019 data under 90% after 6 months.</v>
      </c>
      <c r="I241" s="97">
        <v>19.899999999999999</v>
      </c>
      <c r="J241" s="97">
        <v>20.7</v>
      </c>
      <c r="K241" s="98">
        <v>40</v>
      </c>
      <c r="L241" s="98">
        <v>42</v>
      </c>
      <c r="M241" s="98">
        <v>38</v>
      </c>
      <c r="N241" s="98">
        <v>35</v>
      </c>
      <c r="O241" s="98">
        <v>35</v>
      </c>
      <c r="P241" s="98">
        <v>42</v>
      </c>
      <c r="Q241" s="98">
        <v>55</v>
      </c>
      <c r="R241" s="98">
        <v>58</v>
      </c>
      <c r="S241" s="98">
        <v>53</v>
      </c>
      <c r="T241" s="98">
        <v>42</v>
      </c>
      <c r="U241" s="98">
        <v>27</v>
      </c>
      <c r="V241" s="98">
        <v>28</v>
      </c>
      <c r="W241" s="98">
        <v>30</v>
      </c>
      <c r="X241" s="98">
        <v>32</v>
      </c>
      <c r="Y241" s="98">
        <v>30</v>
      </c>
      <c r="Z241" s="98">
        <v>35</v>
      </c>
      <c r="AA241" s="98">
        <v>31</v>
      </c>
      <c r="AB241" s="98">
        <v>34</v>
      </c>
      <c r="AC241" s="98">
        <v>36</v>
      </c>
      <c r="AD241" s="98">
        <v>29</v>
      </c>
      <c r="AE241" s="98">
        <v>32</v>
      </c>
      <c r="AF241" s="98">
        <v>34</v>
      </c>
      <c r="AG241" s="98">
        <v>35</v>
      </c>
    </row>
    <row r="242" spans="1:33" x14ac:dyDescent="0.3">
      <c r="A242" s="7">
        <v>237</v>
      </c>
      <c r="B242" s="7" t="s">
        <v>624</v>
      </c>
      <c r="C242" s="7" t="s">
        <v>447</v>
      </c>
      <c r="D242" s="8">
        <f>'CDC Source Data'!D214</f>
        <v>172347</v>
      </c>
      <c r="E242" s="8">
        <f>'CDC Source Data'!E214</f>
        <v>35</v>
      </c>
      <c r="F242" s="31">
        <f t="shared" si="3"/>
        <v>20.398291206005258</v>
      </c>
      <c r="G242" s="9">
        <f>'CDC Source Data'!F214</f>
        <v>0</v>
      </c>
      <c r="H242" s="7">
        <f>'CDC Source Data'!G214</f>
        <v>0</v>
      </c>
      <c r="I242" s="97">
        <v>27.7</v>
      </c>
      <c r="J242" s="97">
        <v>28.9</v>
      </c>
      <c r="K242" s="98">
        <v>45</v>
      </c>
      <c r="L242" s="98">
        <v>46</v>
      </c>
      <c r="M242" s="98">
        <v>51</v>
      </c>
      <c r="N242" s="98">
        <v>44</v>
      </c>
      <c r="O242" s="98">
        <v>43</v>
      </c>
      <c r="P242" s="98">
        <v>46</v>
      </c>
      <c r="Q242" s="98">
        <v>43</v>
      </c>
      <c r="R242" s="98">
        <v>54</v>
      </c>
      <c r="S242" s="98">
        <v>47</v>
      </c>
      <c r="T242" s="98">
        <v>45</v>
      </c>
      <c r="U242" s="98">
        <v>46</v>
      </c>
      <c r="V242" s="98">
        <v>48</v>
      </c>
      <c r="W242" s="98">
        <v>58</v>
      </c>
      <c r="X242" s="98">
        <v>63</v>
      </c>
      <c r="Y242" s="98">
        <v>55</v>
      </c>
      <c r="Z242" s="98">
        <v>47</v>
      </c>
      <c r="AA242" s="98">
        <v>39</v>
      </c>
      <c r="AB242" s="98">
        <v>29</v>
      </c>
      <c r="AC242" s="98">
        <v>25</v>
      </c>
      <c r="AD242" s="98">
        <v>26</v>
      </c>
      <c r="AE242" s="98">
        <v>27</v>
      </c>
      <c r="AF242" s="98">
        <v>27</v>
      </c>
      <c r="AG242" s="98">
        <v>35</v>
      </c>
    </row>
    <row r="243" spans="1:33" x14ac:dyDescent="0.3">
      <c r="A243" s="7">
        <v>238</v>
      </c>
      <c r="B243" s="7" t="s">
        <v>625</v>
      </c>
      <c r="C243" s="7" t="s">
        <v>15</v>
      </c>
      <c r="D243" s="8">
        <f>'CDC Source Data'!D492</f>
        <v>444500</v>
      </c>
      <c r="E243" s="8">
        <f>'CDC Source Data'!E492</f>
        <v>90</v>
      </c>
      <c r="F243" s="31">
        <f t="shared" si="3"/>
        <v>20.307867267779535</v>
      </c>
      <c r="G243" s="9">
        <f>'CDC Source Data'!F492</f>
        <v>0.06</v>
      </c>
      <c r="H243" s="7">
        <f>'CDC Source Data'!G492</f>
        <v>0</v>
      </c>
      <c r="I243" s="97">
        <v>17.5</v>
      </c>
      <c r="J243" s="97">
        <v>18.3</v>
      </c>
      <c r="K243" s="98">
        <v>73</v>
      </c>
      <c r="L243" s="98">
        <v>79</v>
      </c>
      <c r="M243" s="98">
        <v>89</v>
      </c>
      <c r="N243" s="98">
        <v>89</v>
      </c>
      <c r="O243" s="98">
        <v>100</v>
      </c>
      <c r="P243" s="98">
        <v>105</v>
      </c>
      <c r="Q243" s="98">
        <v>119</v>
      </c>
      <c r="R243" s="98">
        <v>125</v>
      </c>
      <c r="S243" s="98">
        <v>135</v>
      </c>
      <c r="T243" s="98">
        <v>139</v>
      </c>
      <c r="U243" s="98">
        <v>130</v>
      </c>
      <c r="V243" s="98">
        <v>129</v>
      </c>
      <c r="W243" s="98">
        <v>134</v>
      </c>
      <c r="X243" s="98">
        <v>138</v>
      </c>
      <c r="Y243" s="98">
        <v>141</v>
      </c>
      <c r="Z243" s="98">
        <v>146</v>
      </c>
      <c r="AA243" s="98">
        <v>129</v>
      </c>
      <c r="AB243" s="98">
        <v>126</v>
      </c>
      <c r="AC243" s="98">
        <v>103</v>
      </c>
      <c r="AD243" s="98">
        <v>92</v>
      </c>
      <c r="AE243" s="98">
        <v>93</v>
      </c>
      <c r="AF243" s="98">
        <v>89</v>
      </c>
      <c r="AG243" s="98">
        <v>90</v>
      </c>
    </row>
    <row r="244" spans="1:33" x14ac:dyDescent="0.3">
      <c r="A244" s="7">
        <v>239</v>
      </c>
      <c r="B244" s="7" t="s">
        <v>626</v>
      </c>
      <c r="C244" s="7" t="s">
        <v>627</v>
      </c>
      <c r="D244" s="8">
        <f>'CDC Source Data'!D447</f>
        <v>516185</v>
      </c>
      <c r="E244" s="8">
        <f>'CDC Source Data'!E447</f>
        <v>104</v>
      </c>
      <c r="F244" s="31">
        <f t="shared" si="3"/>
        <v>20.247469066366705</v>
      </c>
      <c r="G244" s="9">
        <f>'CDC Source Data'!F447</f>
        <v>0</v>
      </c>
      <c r="H244" s="7">
        <f>'CDC Source Data'!G447</f>
        <v>0</v>
      </c>
      <c r="I244" s="97">
        <v>17.3</v>
      </c>
      <c r="J244" s="97">
        <v>18.100000000000001</v>
      </c>
      <c r="K244" s="98">
        <v>110</v>
      </c>
      <c r="L244" s="98">
        <v>122</v>
      </c>
      <c r="M244" s="98">
        <v>119</v>
      </c>
      <c r="N244" s="98">
        <v>110</v>
      </c>
      <c r="O244" s="98">
        <v>111</v>
      </c>
      <c r="P244" s="98">
        <v>119</v>
      </c>
      <c r="Q244" s="98">
        <v>134</v>
      </c>
      <c r="R244" s="98">
        <v>139</v>
      </c>
      <c r="S244" s="98">
        <v>142</v>
      </c>
      <c r="T244" s="98">
        <v>140</v>
      </c>
      <c r="U244" s="98">
        <v>132</v>
      </c>
      <c r="V244" s="98">
        <v>141</v>
      </c>
      <c r="W244" s="98">
        <v>134</v>
      </c>
      <c r="X244" s="98">
        <v>139</v>
      </c>
      <c r="Y244" s="98">
        <v>141</v>
      </c>
      <c r="Z244" s="98">
        <v>128</v>
      </c>
      <c r="AA244" s="98">
        <v>147</v>
      </c>
      <c r="AB244" s="98">
        <v>138</v>
      </c>
      <c r="AC244" s="98">
        <v>126</v>
      </c>
      <c r="AD244" s="98">
        <v>132</v>
      </c>
      <c r="AE244" s="98">
        <v>115</v>
      </c>
      <c r="AF244" s="98">
        <v>106</v>
      </c>
      <c r="AG244" s="98">
        <v>104</v>
      </c>
    </row>
    <row r="245" spans="1:33" x14ac:dyDescent="0.3">
      <c r="A245" s="7">
        <v>240</v>
      </c>
      <c r="B245" s="7" t="s">
        <v>628</v>
      </c>
      <c r="C245" s="7" t="s">
        <v>526</v>
      </c>
      <c r="D245" s="8">
        <f>'CDC Source Data'!D246</f>
        <v>998747</v>
      </c>
      <c r="E245" s="8">
        <f>'CDC Source Data'!E246</f>
        <v>200</v>
      </c>
      <c r="F245" s="31">
        <f t="shared" si="3"/>
        <v>20.147815221286944</v>
      </c>
      <c r="G245" s="9">
        <f>'CDC Source Data'!F246</f>
        <v>0.18</v>
      </c>
      <c r="H245" s="7" t="str">
        <f>'CDC Source Data'!G246</f>
        <v>Completeness of provisional 2019 data under 90% after 6 months.</v>
      </c>
      <c r="I245" s="97">
        <v>15.8</v>
      </c>
      <c r="J245" s="97">
        <v>16.5</v>
      </c>
      <c r="K245" s="98">
        <v>181</v>
      </c>
      <c r="L245" s="98">
        <v>193</v>
      </c>
      <c r="M245" s="98">
        <v>206</v>
      </c>
      <c r="N245" s="98">
        <v>206</v>
      </c>
      <c r="O245" s="98">
        <v>201</v>
      </c>
      <c r="P245" s="98">
        <v>186</v>
      </c>
      <c r="Q245" s="98">
        <v>186</v>
      </c>
      <c r="R245" s="98">
        <v>182</v>
      </c>
      <c r="S245" s="98">
        <v>190</v>
      </c>
      <c r="T245" s="98">
        <v>201</v>
      </c>
      <c r="U245" s="98">
        <v>198</v>
      </c>
      <c r="V245" s="98">
        <v>194</v>
      </c>
      <c r="W245" s="98">
        <v>176</v>
      </c>
      <c r="X245" s="98">
        <v>199</v>
      </c>
      <c r="Y245" s="98">
        <v>207</v>
      </c>
      <c r="Z245" s="98">
        <v>200</v>
      </c>
      <c r="AA245" s="98">
        <v>217</v>
      </c>
      <c r="AB245" s="98">
        <v>206</v>
      </c>
      <c r="AC245" s="98">
        <v>213</v>
      </c>
      <c r="AD245" s="98">
        <v>225</v>
      </c>
      <c r="AE245" s="98">
        <v>230</v>
      </c>
      <c r="AF245" s="98">
        <v>221</v>
      </c>
      <c r="AG245" s="98">
        <v>200</v>
      </c>
    </row>
    <row r="246" spans="1:33" x14ac:dyDescent="0.3">
      <c r="A246" s="7">
        <v>241</v>
      </c>
      <c r="B246" s="7" t="s">
        <v>629</v>
      </c>
      <c r="C246" s="7" t="s">
        <v>469</v>
      </c>
      <c r="D246" s="8">
        <f>'CDC Source Data'!D88</f>
        <v>129911</v>
      </c>
      <c r="E246" s="8">
        <f>'CDC Source Data'!E88</f>
        <v>26</v>
      </c>
      <c r="F246" s="31">
        <f t="shared" si="3"/>
        <v>20.025091439573785</v>
      </c>
      <c r="G246" s="9">
        <f>'CDC Source Data'!F88</f>
        <v>0</v>
      </c>
      <c r="H246" s="7" t="str">
        <f>'CDC Source Data'!G88</f>
        <v>Completeness of provisional 2019 data under 90% after 6 months.</v>
      </c>
      <c r="I246" s="97">
        <v>26.8</v>
      </c>
      <c r="J246" s="97">
        <v>28</v>
      </c>
      <c r="K246" s="98">
        <v>28</v>
      </c>
      <c r="L246" s="98">
        <v>34</v>
      </c>
      <c r="M246" s="98">
        <v>32</v>
      </c>
      <c r="N246" s="98">
        <v>34</v>
      </c>
      <c r="O246" s="98">
        <v>37</v>
      </c>
      <c r="P246" s="98">
        <v>33</v>
      </c>
      <c r="Q246" s="98">
        <v>42</v>
      </c>
      <c r="R246" s="98">
        <v>50</v>
      </c>
      <c r="S246" s="98">
        <v>52</v>
      </c>
      <c r="T246" s="98">
        <v>54</v>
      </c>
      <c r="U246" s="98">
        <v>49</v>
      </c>
      <c r="V246" s="98">
        <v>49</v>
      </c>
      <c r="W246" s="98">
        <v>48</v>
      </c>
      <c r="X246" s="98">
        <v>55</v>
      </c>
      <c r="Y246" s="98">
        <v>51</v>
      </c>
      <c r="Z246" s="98">
        <v>46</v>
      </c>
      <c r="AA246" s="98">
        <v>44</v>
      </c>
      <c r="AB246" s="98">
        <v>34</v>
      </c>
      <c r="AC246" s="98">
        <v>41</v>
      </c>
      <c r="AD246" s="98">
        <v>37</v>
      </c>
      <c r="AE246" s="98">
        <v>36</v>
      </c>
      <c r="AF246" s="98">
        <v>36</v>
      </c>
      <c r="AG246" s="98">
        <v>26</v>
      </c>
    </row>
    <row r="247" spans="1:33" x14ac:dyDescent="0.3">
      <c r="A247" s="7">
        <v>242</v>
      </c>
      <c r="B247" s="7" t="s">
        <v>502</v>
      </c>
      <c r="C247" s="7" t="s">
        <v>27</v>
      </c>
      <c r="D247" s="8">
        <f>'CDC Source Data'!D383</f>
        <v>246025</v>
      </c>
      <c r="E247" s="8">
        <f>'CDC Source Data'!E383</f>
        <v>49</v>
      </c>
      <c r="F247" s="31">
        <f t="shared" si="3"/>
        <v>20.013701688078761</v>
      </c>
      <c r="G247" s="9">
        <f>'CDC Source Data'!F383</f>
        <v>0.12</v>
      </c>
      <c r="H247" s="7">
        <f>'CDC Source Data'!G383</f>
        <v>0</v>
      </c>
      <c r="I247" s="97">
        <v>23.5</v>
      </c>
      <c r="J247" s="97">
        <v>24.6</v>
      </c>
      <c r="K247" s="98">
        <v>80</v>
      </c>
      <c r="L247" s="98">
        <v>87</v>
      </c>
      <c r="M247" s="98">
        <v>89</v>
      </c>
      <c r="N247" s="98">
        <v>90</v>
      </c>
      <c r="O247" s="98">
        <v>94</v>
      </c>
      <c r="P247" s="98">
        <v>98</v>
      </c>
      <c r="Q247" s="98">
        <v>108</v>
      </c>
      <c r="R247" s="98">
        <v>117</v>
      </c>
      <c r="S247" s="98">
        <v>104</v>
      </c>
      <c r="T247" s="98">
        <v>106</v>
      </c>
      <c r="U247" s="98">
        <v>90</v>
      </c>
      <c r="V247" s="98">
        <v>81</v>
      </c>
      <c r="W247" s="98">
        <v>86</v>
      </c>
      <c r="X247" s="98">
        <v>77</v>
      </c>
      <c r="Y247" s="98">
        <v>78</v>
      </c>
      <c r="Z247" s="98">
        <v>76</v>
      </c>
      <c r="AA247" s="98">
        <v>65</v>
      </c>
      <c r="AB247" s="98">
        <v>56</v>
      </c>
      <c r="AC247" s="98">
        <v>45</v>
      </c>
      <c r="AD247" s="98">
        <v>38</v>
      </c>
      <c r="AE247" s="98">
        <v>41</v>
      </c>
      <c r="AF247" s="98">
        <v>50</v>
      </c>
      <c r="AG247" s="98">
        <v>49</v>
      </c>
    </row>
    <row r="248" spans="1:33" x14ac:dyDescent="0.3">
      <c r="A248" s="7">
        <v>243</v>
      </c>
      <c r="B248" s="7" t="s">
        <v>630</v>
      </c>
      <c r="C248" s="7" t="s">
        <v>32</v>
      </c>
      <c r="D248" s="8">
        <f>'CDC Source Data'!D463</f>
        <v>160749</v>
      </c>
      <c r="E248" s="8">
        <f>'CDC Source Data'!E463</f>
        <v>32</v>
      </c>
      <c r="F248" s="31">
        <f t="shared" si="3"/>
        <v>19.916675134640787</v>
      </c>
      <c r="G248" s="9">
        <f>'CDC Source Data'!F463</f>
        <v>0</v>
      </c>
      <c r="H248" s="7" t="str">
        <f>'CDC Source Data'!G463</f>
        <v>Completeness of provisional 2019 data under 90% after 6 months.</v>
      </c>
      <c r="I248" s="97">
        <v>13.1</v>
      </c>
      <c r="J248" s="97">
        <v>13.6</v>
      </c>
      <c r="K248" s="98">
        <v>21</v>
      </c>
      <c r="L248" s="98">
        <v>36</v>
      </c>
      <c r="M248" s="98">
        <v>39</v>
      </c>
      <c r="N248" s="98">
        <v>39</v>
      </c>
      <c r="O248" s="98">
        <v>45</v>
      </c>
      <c r="P248" s="98">
        <v>38</v>
      </c>
      <c r="Q248" s="98">
        <v>36</v>
      </c>
      <c r="R248" s="98">
        <v>46</v>
      </c>
      <c r="S248" s="98">
        <v>46</v>
      </c>
      <c r="T248" s="98">
        <v>41</v>
      </c>
      <c r="U248" s="98">
        <v>47</v>
      </c>
      <c r="V248" s="98">
        <v>46</v>
      </c>
      <c r="W248" s="98">
        <v>56</v>
      </c>
      <c r="X248" s="98">
        <v>71</v>
      </c>
      <c r="Y248" s="98">
        <v>66</v>
      </c>
      <c r="Z248" s="98">
        <v>71</v>
      </c>
      <c r="AA248" s="98">
        <v>64</v>
      </c>
      <c r="AB248" s="98">
        <v>51</v>
      </c>
      <c r="AC248" s="98">
        <v>53</v>
      </c>
      <c r="AD248" s="98">
        <v>46</v>
      </c>
      <c r="AE248" s="98">
        <v>41</v>
      </c>
      <c r="AF248" s="98">
        <v>39</v>
      </c>
      <c r="AG248" s="98">
        <v>32</v>
      </c>
    </row>
    <row r="249" spans="1:33" x14ac:dyDescent="0.3">
      <c r="A249" s="7">
        <v>244</v>
      </c>
      <c r="B249" s="7" t="s">
        <v>631</v>
      </c>
      <c r="C249" s="7" t="s">
        <v>604</v>
      </c>
      <c r="D249" s="8">
        <f>'CDC Source Data'!D554</f>
        <v>2230708</v>
      </c>
      <c r="E249" s="8">
        <f>'CDC Source Data'!E554</f>
        <v>444</v>
      </c>
      <c r="F249" s="31">
        <f t="shared" si="3"/>
        <v>19.906811239883297</v>
      </c>
      <c r="G249" s="9">
        <f>'CDC Source Data'!F554</f>
        <v>0.06</v>
      </c>
      <c r="H249" s="7" t="str">
        <f>'CDC Source Data'!G554</f>
        <v>Completeness of provisional 2019 data under 90% after 6 months.</v>
      </c>
      <c r="I249" s="97">
        <v>12.1</v>
      </c>
      <c r="J249" s="97">
        <v>12.6</v>
      </c>
      <c r="K249" s="98">
        <v>194</v>
      </c>
      <c r="L249" s="98">
        <v>226</v>
      </c>
      <c r="M249" s="98">
        <v>274</v>
      </c>
      <c r="N249" s="98">
        <v>305</v>
      </c>
      <c r="O249" s="98">
        <v>349</v>
      </c>
      <c r="P249" s="98">
        <v>376</v>
      </c>
      <c r="Q249" s="98">
        <v>404</v>
      </c>
      <c r="R249" s="98">
        <v>405</v>
      </c>
      <c r="S249" s="98">
        <v>399</v>
      </c>
      <c r="T249" s="98">
        <v>404</v>
      </c>
      <c r="U249" s="98">
        <v>409</v>
      </c>
      <c r="V249" s="98">
        <v>436</v>
      </c>
      <c r="W249" s="98">
        <v>443</v>
      </c>
      <c r="X249" s="98">
        <v>470</v>
      </c>
      <c r="Y249" s="98">
        <v>495</v>
      </c>
      <c r="Z249" s="98">
        <v>493</v>
      </c>
      <c r="AA249" s="98">
        <v>489</v>
      </c>
      <c r="AB249" s="98">
        <v>477</v>
      </c>
      <c r="AC249" s="98">
        <v>445</v>
      </c>
      <c r="AD249" s="98">
        <v>444</v>
      </c>
      <c r="AE249" s="98">
        <v>445</v>
      </c>
      <c r="AF249" s="98">
        <v>445</v>
      </c>
      <c r="AG249" s="98">
        <v>444</v>
      </c>
    </row>
    <row r="250" spans="1:33" x14ac:dyDescent="0.3">
      <c r="A250" s="7">
        <v>245</v>
      </c>
      <c r="B250" s="7" t="s">
        <v>632</v>
      </c>
      <c r="C250" s="7" t="s">
        <v>32</v>
      </c>
      <c r="D250" s="8">
        <f>'CDC Source Data'!D65</f>
        <v>196397</v>
      </c>
      <c r="E250" s="8">
        <f>'CDC Source Data'!E65</f>
        <v>39</v>
      </c>
      <c r="F250" s="31">
        <f t="shared" si="3"/>
        <v>19.903994606196779</v>
      </c>
      <c r="G250" s="9">
        <f>'CDC Source Data'!F65</f>
        <v>0.52</v>
      </c>
      <c r="H250" s="7" t="str">
        <f>'CDC Source Data'!G65</f>
        <v>Completeness of provisional 2019 data under 90% after 6 months.</v>
      </c>
      <c r="I250" s="97">
        <v>21.8</v>
      </c>
      <c r="J250" s="97">
        <v>22.8</v>
      </c>
      <c r="K250" s="98">
        <v>44</v>
      </c>
      <c r="L250" s="98">
        <v>52</v>
      </c>
      <c r="M250" s="98">
        <v>62</v>
      </c>
      <c r="N250" s="98">
        <v>76</v>
      </c>
      <c r="O250" s="98">
        <v>83</v>
      </c>
      <c r="P250" s="98">
        <v>85</v>
      </c>
      <c r="Q250" s="98">
        <v>92</v>
      </c>
      <c r="R250" s="98">
        <v>91</v>
      </c>
      <c r="S250" s="98">
        <v>91</v>
      </c>
      <c r="T250" s="98">
        <v>103</v>
      </c>
      <c r="U250" s="98">
        <v>100</v>
      </c>
      <c r="V250" s="98">
        <v>101</v>
      </c>
      <c r="W250" s="98">
        <v>94</v>
      </c>
      <c r="X250" s="98">
        <v>87</v>
      </c>
      <c r="Y250" s="98">
        <v>86</v>
      </c>
      <c r="Z250" s="98">
        <v>92</v>
      </c>
      <c r="AA250" s="98">
        <v>100</v>
      </c>
      <c r="AB250" s="98">
        <v>98</v>
      </c>
      <c r="AC250" s="98">
        <v>90</v>
      </c>
      <c r="AD250" s="98">
        <v>69</v>
      </c>
      <c r="AE250" s="98">
        <v>53</v>
      </c>
      <c r="AF250" s="98">
        <v>42</v>
      </c>
      <c r="AG250" s="98">
        <v>39</v>
      </c>
    </row>
    <row r="251" spans="1:33" x14ac:dyDescent="0.3">
      <c r="A251" s="7">
        <v>246</v>
      </c>
      <c r="B251" s="7" t="s">
        <v>633</v>
      </c>
      <c r="C251" s="7" t="s">
        <v>24</v>
      </c>
      <c r="D251" s="8">
        <f>'CDC Source Data'!D57</f>
        <v>131102</v>
      </c>
      <c r="E251" s="8">
        <f>'CDC Source Data'!E57</f>
        <v>26</v>
      </c>
      <c r="F251" s="31">
        <f t="shared" si="3"/>
        <v>19.857737134477613</v>
      </c>
      <c r="G251" s="9">
        <f>'CDC Source Data'!F57</f>
        <v>0</v>
      </c>
      <c r="H251" s="7">
        <f>'CDC Source Data'!G57</f>
        <v>0</v>
      </c>
      <c r="I251" s="97">
        <v>15.3</v>
      </c>
      <c r="J251" s="97">
        <v>15.9</v>
      </c>
      <c r="K251" s="98">
        <v>16</v>
      </c>
      <c r="L251" s="98">
        <v>17</v>
      </c>
      <c r="M251" s="98">
        <v>18</v>
      </c>
      <c r="N251" s="98">
        <v>18</v>
      </c>
      <c r="O251" s="98">
        <v>20</v>
      </c>
      <c r="P251" s="98">
        <v>22</v>
      </c>
      <c r="Q251" s="98">
        <v>20</v>
      </c>
      <c r="R251" s="98">
        <v>22</v>
      </c>
      <c r="S251" s="98">
        <v>23</v>
      </c>
      <c r="T251" s="98">
        <v>23</v>
      </c>
      <c r="U251" s="98">
        <v>22</v>
      </c>
      <c r="V251" s="98">
        <v>17</v>
      </c>
      <c r="W251" s="98">
        <v>22</v>
      </c>
      <c r="X251" s="98">
        <v>23</v>
      </c>
      <c r="Y251" s="98">
        <v>29</v>
      </c>
      <c r="Z251" s="98">
        <v>28</v>
      </c>
      <c r="AA251" s="98">
        <v>21</v>
      </c>
      <c r="AB251" s="98">
        <v>18</v>
      </c>
      <c r="AC251" s="98">
        <v>15</v>
      </c>
      <c r="AD251" s="98">
        <v>19</v>
      </c>
      <c r="AE251" s="98">
        <v>15</v>
      </c>
      <c r="AF251" s="98">
        <v>25</v>
      </c>
      <c r="AG251" s="98">
        <v>26</v>
      </c>
    </row>
    <row r="252" spans="1:33" x14ac:dyDescent="0.3">
      <c r="A252" s="7">
        <v>247</v>
      </c>
      <c r="B252" s="7" t="s">
        <v>634</v>
      </c>
      <c r="C252" s="7" t="s">
        <v>475</v>
      </c>
      <c r="D252" s="8">
        <f>'CDC Source Data'!D413</f>
        <v>166424</v>
      </c>
      <c r="E252" s="8">
        <f>'CDC Source Data'!E413</f>
        <v>33</v>
      </c>
      <c r="F252" s="31">
        <f t="shared" si="3"/>
        <v>19.831886622629707</v>
      </c>
      <c r="G252" s="9">
        <f>'CDC Source Data'!F413</f>
        <v>0</v>
      </c>
      <c r="H252" s="7">
        <f>'CDC Source Data'!G413</f>
        <v>0</v>
      </c>
      <c r="I252" s="97">
        <v>11.5</v>
      </c>
      <c r="J252" s="97">
        <v>12</v>
      </c>
      <c r="K252" s="98">
        <v>20</v>
      </c>
      <c r="L252" s="98">
        <v>22</v>
      </c>
      <c r="M252" s="98">
        <v>25</v>
      </c>
      <c r="N252" s="98">
        <v>30</v>
      </c>
      <c r="O252" s="98">
        <v>32</v>
      </c>
      <c r="P252" s="98">
        <v>32</v>
      </c>
      <c r="Q252" s="98">
        <v>34</v>
      </c>
      <c r="R252" s="98">
        <v>36</v>
      </c>
      <c r="S252" s="98">
        <v>41</v>
      </c>
      <c r="T252" s="98">
        <v>40</v>
      </c>
      <c r="U252" s="98">
        <v>44</v>
      </c>
      <c r="V252" s="98">
        <v>45</v>
      </c>
      <c r="W252" s="98">
        <v>40</v>
      </c>
      <c r="X252" s="98">
        <v>45</v>
      </c>
      <c r="Y252" s="98">
        <v>40</v>
      </c>
      <c r="Z252" s="98">
        <v>33</v>
      </c>
      <c r="AA252" s="98">
        <v>35</v>
      </c>
      <c r="AB252" s="98">
        <v>31</v>
      </c>
      <c r="AC252" s="98">
        <v>26</v>
      </c>
      <c r="AD252" s="98">
        <v>23</v>
      </c>
      <c r="AE252" s="98">
        <v>25</v>
      </c>
      <c r="AF252" s="98">
        <v>30</v>
      </c>
      <c r="AG252" s="98">
        <v>33</v>
      </c>
    </row>
    <row r="253" spans="1:33" x14ac:dyDescent="0.3">
      <c r="A253" s="7">
        <v>248</v>
      </c>
      <c r="B253" s="7" t="s">
        <v>635</v>
      </c>
      <c r="C253" s="7" t="s">
        <v>257</v>
      </c>
      <c r="D253" s="8">
        <f>'CDC Source Data'!D245</f>
        <v>211975</v>
      </c>
      <c r="E253" s="8">
        <f>'CDC Source Data'!E245</f>
        <v>42</v>
      </c>
      <c r="F253" s="31">
        <f t="shared" si="3"/>
        <v>19.828870835937124</v>
      </c>
      <c r="G253" s="9">
        <f>'CDC Source Data'!F245</f>
        <v>0.21</v>
      </c>
      <c r="H253" s="7" t="str">
        <f>'CDC Source Data'!G245</f>
        <v>Completeness of provisional 2019 data under 90% after 6 months.</v>
      </c>
      <c r="I253" s="97">
        <v>9.5</v>
      </c>
      <c r="J253" s="97">
        <v>9.9</v>
      </c>
      <c r="K253" s="98">
        <v>26</v>
      </c>
      <c r="L253" s="98">
        <v>38</v>
      </c>
      <c r="M253" s="98">
        <v>39</v>
      </c>
      <c r="N253" s="98">
        <v>44</v>
      </c>
      <c r="O253" s="98">
        <v>53</v>
      </c>
      <c r="P253" s="98">
        <v>58</v>
      </c>
      <c r="Q253" s="98">
        <v>59</v>
      </c>
      <c r="R253" s="98">
        <v>54</v>
      </c>
      <c r="S253" s="98">
        <v>59</v>
      </c>
      <c r="T253" s="98">
        <v>53</v>
      </c>
      <c r="U253" s="98">
        <v>60</v>
      </c>
      <c r="V253" s="98">
        <v>65</v>
      </c>
      <c r="W253" s="98">
        <v>52</v>
      </c>
      <c r="X253" s="98">
        <v>57</v>
      </c>
      <c r="Y253" s="98">
        <v>51</v>
      </c>
      <c r="Z253" s="98">
        <v>53</v>
      </c>
      <c r="AA253" s="98">
        <v>53</v>
      </c>
      <c r="AB253" s="98">
        <v>42</v>
      </c>
      <c r="AC253" s="98">
        <v>43</v>
      </c>
      <c r="AD253" s="98">
        <v>37</v>
      </c>
      <c r="AE253" s="98">
        <v>49</v>
      </c>
      <c r="AF253" s="98">
        <v>46</v>
      </c>
      <c r="AG253" s="98">
        <v>42</v>
      </c>
    </row>
    <row r="254" spans="1:33" x14ac:dyDescent="0.3">
      <c r="A254" s="7">
        <v>249</v>
      </c>
      <c r="B254" s="7" t="s">
        <v>636</v>
      </c>
      <c r="C254" s="7" t="s">
        <v>15</v>
      </c>
      <c r="D254" s="8">
        <f>'CDC Source Data'!D519</f>
        <v>485375</v>
      </c>
      <c r="E254" s="8">
        <f>'CDC Source Data'!E519</f>
        <v>96</v>
      </c>
      <c r="F254" s="31">
        <f t="shared" si="3"/>
        <v>19.813657270904585</v>
      </c>
      <c r="G254" s="9">
        <f>'CDC Source Data'!F519</f>
        <v>0.13</v>
      </c>
      <c r="H254" s="7" t="str">
        <f>'CDC Source Data'!G519</f>
        <v>Completeness of provisional 2019 data under 90% after 6 months.</v>
      </c>
      <c r="I254" s="97">
        <v>19.8</v>
      </c>
      <c r="J254" s="97">
        <v>20.7</v>
      </c>
      <c r="K254" s="98">
        <v>103</v>
      </c>
      <c r="L254" s="98">
        <v>126</v>
      </c>
      <c r="M254" s="98">
        <v>138</v>
      </c>
      <c r="N254" s="98">
        <v>146</v>
      </c>
      <c r="O254" s="98">
        <v>160</v>
      </c>
      <c r="P254" s="98">
        <v>165</v>
      </c>
      <c r="Q254" s="98">
        <v>168</v>
      </c>
      <c r="R254" s="98">
        <v>159</v>
      </c>
      <c r="S254" s="98">
        <v>147</v>
      </c>
      <c r="T254" s="98">
        <v>127</v>
      </c>
      <c r="U254" s="98">
        <v>121</v>
      </c>
      <c r="V254" s="98">
        <v>120</v>
      </c>
      <c r="W254" s="98">
        <v>129</v>
      </c>
      <c r="X254" s="98">
        <v>138</v>
      </c>
      <c r="Y254" s="98">
        <v>135</v>
      </c>
      <c r="Z254" s="98">
        <v>133</v>
      </c>
      <c r="AA254" s="98">
        <v>134</v>
      </c>
      <c r="AB254" s="98">
        <v>125</v>
      </c>
      <c r="AC254" s="98">
        <v>117</v>
      </c>
      <c r="AD254" s="98">
        <v>112</v>
      </c>
      <c r="AE254" s="98">
        <v>99</v>
      </c>
      <c r="AF254" s="98">
        <v>100</v>
      </c>
      <c r="AG254" s="98">
        <v>96</v>
      </c>
    </row>
    <row r="255" spans="1:33" x14ac:dyDescent="0.3">
      <c r="A255" s="7">
        <v>250</v>
      </c>
      <c r="B255" s="7" t="s">
        <v>637</v>
      </c>
      <c r="C255" s="7" t="s">
        <v>262</v>
      </c>
      <c r="D255" s="8">
        <f>'CDC Source Data'!D611</f>
        <v>283790</v>
      </c>
      <c r="E255" s="8">
        <f>'CDC Source Data'!E611</f>
        <v>56</v>
      </c>
      <c r="F255" s="31">
        <f t="shared" si="3"/>
        <v>19.778521761524594</v>
      </c>
      <c r="G255" s="9">
        <f>'CDC Source Data'!F611</f>
        <v>0.03</v>
      </c>
      <c r="H255" s="7">
        <f>'CDC Source Data'!G611</f>
        <v>0</v>
      </c>
      <c r="I255" s="97">
        <v>36.700000000000003</v>
      </c>
      <c r="J255" s="97">
        <v>38.299999999999997</v>
      </c>
      <c r="K255" s="98">
        <v>129</v>
      </c>
      <c r="L255" s="98">
        <v>139</v>
      </c>
      <c r="M255" s="98">
        <v>148</v>
      </c>
      <c r="N255" s="98">
        <v>147</v>
      </c>
      <c r="O255" s="98">
        <v>140</v>
      </c>
      <c r="P255" s="98">
        <v>131</v>
      </c>
      <c r="Q255" s="98">
        <v>150</v>
      </c>
      <c r="R255" s="98">
        <v>148</v>
      </c>
      <c r="S255" s="98">
        <v>177</v>
      </c>
      <c r="T255" s="98">
        <v>170</v>
      </c>
      <c r="U255" s="98">
        <v>147</v>
      </c>
      <c r="V255" s="98">
        <v>155</v>
      </c>
      <c r="W255" s="98">
        <v>143</v>
      </c>
      <c r="X255" s="98">
        <v>138</v>
      </c>
      <c r="Y255" s="98">
        <v>144</v>
      </c>
      <c r="Z255" s="98">
        <v>143</v>
      </c>
      <c r="AA255" s="98">
        <v>124</v>
      </c>
      <c r="AB255" s="98">
        <v>115</v>
      </c>
      <c r="AC255" s="98">
        <v>100</v>
      </c>
      <c r="AD255" s="98">
        <v>76</v>
      </c>
      <c r="AE255" s="98">
        <v>69</v>
      </c>
      <c r="AF255" s="98">
        <v>62</v>
      </c>
      <c r="AG255" s="98">
        <v>56</v>
      </c>
    </row>
    <row r="256" spans="1:33" x14ac:dyDescent="0.3">
      <c r="A256" s="7">
        <v>251</v>
      </c>
      <c r="B256" s="7" t="s">
        <v>638</v>
      </c>
      <c r="C256" s="7" t="s">
        <v>15</v>
      </c>
      <c r="D256" s="8">
        <f>'CDC Source Data'!D203</f>
        <v>1024125</v>
      </c>
      <c r="E256" s="8">
        <f>'CDC Source Data'!E203</f>
        <v>202</v>
      </c>
      <c r="F256" s="31">
        <f t="shared" si="3"/>
        <v>19.732901088833291</v>
      </c>
      <c r="G256" s="9">
        <f>'CDC Source Data'!F203</f>
        <v>0.13</v>
      </c>
      <c r="H256" s="7" t="str">
        <f>'CDC Source Data'!G203</f>
        <v>Completeness of provisional 2019 data under 90% after 6 months.</v>
      </c>
      <c r="I256" s="97">
        <v>15.4</v>
      </c>
      <c r="J256" s="97">
        <v>16.100000000000001</v>
      </c>
      <c r="K256" s="98">
        <v>130</v>
      </c>
      <c r="L256" s="98">
        <v>141</v>
      </c>
      <c r="M256" s="98">
        <v>154</v>
      </c>
      <c r="N256" s="98">
        <v>171</v>
      </c>
      <c r="O256" s="98">
        <v>194</v>
      </c>
      <c r="P256" s="98">
        <v>202</v>
      </c>
      <c r="Q256" s="98">
        <v>206</v>
      </c>
      <c r="R256" s="98">
        <v>200</v>
      </c>
      <c r="S256" s="98">
        <v>190</v>
      </c>
      <c r="T256" s="98">
        <v>188</v>
      </c>
      <c r="U256" s="98">
        <v>198</v>
      </c>
      <c r="V256" s="98">
        <v>223</v>
      </c>
      <c r="W256" s="98">
        <v>235</v>
      </c>
      <c r="X256" s="98">
        <v>253</v>
      </c>
      <c r="Y256" s="98">
        <v>246</v>
      </c>
      <c r="Z256" s="98">
        <v>237</v>
      </c>
      <c r="AA256" s="98">
        <v>240</v>
      </c>
      <c r="AB256" s="98">
        <v>241</v>
      </c>
      <c r="AC256" s="98">
        <v>256</v>
      </c>
      <c r="AD256" s="98">
        <v>261</v>
      </c>
      <c r="AE256" s="98">
        <v>245</v>
      </c>
      <c r="AF256" s="98">
        <v>223</v>
      </c>
      <c r="AG256" s="98">
        <v>202</v>
      </c>
    </row>
    <row r="257" spans="1:33" x14ac:dyDescent="0.3">
      <c r="A257" s="7">
        <v>252</v>
      </c>
      <c r="B257" s="7" t="s">
        <v>639</v>
      </c>
      <c r="C257" s="7" t="s">
        <v>480</v>
      </c>
      <c r="D257" s="8">
        <f>'CDC Source Data'!D257</f>
        <v>290427</v>
      </c>
      <c r="E257" s="8">
        <f>'CDC Source Data'!E257</f>
        <v>57</v>
      </c>
      <c r="F257" s="31">
        <f t="shared" si="3"/>
        <v>19.724154766263883</v>
      </c>
      <c r="G257" s="9">
        <f>'CDC Source Data'!F257</f>
        <v>0.16</v>
      </c>
      <c r="H257" s="7" t="str">
        <f>'CDC Source Data'!G257</f>
        <v>Completeness of provisional 2019 data under 90% after 6 months.</v>
      </c>
      <c r="I257" s="97">
        <v>24.6</v>
      </c>
      <c r="J257" s="97">
        <v>25.7</v>
      </c>
      <c r="K257" s="98">
        <v>105</v>
      </c>
      <c r="L257" s="98">
        <v>113</v>
      </c>
      <c r="M257" s="98">
        <v>127</v>
      </c>
      <c r="N257" s="98">
        <v>118</v>
      </c>
      <c r="O257" s="98">
        <v>112</v>
      </c>
      <c r="P257" s="98">
        <v>120</v>
      </c>
      <c r="Q257" s="98">
        <v>118</v>
      </c>
      <c r="R257" s="98">
        <v>121</v>
      </c>
      <c r="S257" s="98">
        <v>133</v>
      </c>
      <c r="T257" s="98">
        <v>112</v>
      </c>
      <c r="U257" s="98">
        <v>104</v>
      </c>
      <c r="V257" s="98">
        <v>118</v>
      </c>
      <c r="W257" s="98">
        <v>105</v>
      </c>
      <c r="X257" s="98">
        <v>108</v>
      </c>
      <c r="Y257" s="98">
        <v>119</v>
      </c>
      <c r="Z257" s="98">
        <v>102</v>
      </c>
      <c r="AA257" s="98">
        <v>100</v>
      </c>
      <c r="AB257" s="98">
        <v>96</v>
      </c>
      <c r="AC257" s="98">
        <v>75</v>
      </c>
      <c r="AD257" s="98">
        <v>66</v>
      </c>
      <c r="AE257" s="98">
        <v>63</v>
      </c>
      <c r="AF257" s="98">
        <v>56</v>
      </c>
      <c r="AG257" s="98">
        <v>57</v>
      </c>
    </row>
    <row r="258" spans="1:33" x14ac:dyDescent="0.3">
      <c r="A258" s="7">
        <v>253</v>
      </c>
      <c r="B258" s="7" t="s">
        <v>640</v>
      </c>
      <c r="C258" s="7" t="s">
        <v>230</v>
      </c>
      <c r="D258" s="8">
        <f>'CDC Source Data'!D532</f>
        <v>992929</v>
      </c>
      <c r="E258" s="8">
        <f>'CDC Source Data'!E532</f>
        <v>194</v>
      </c>
      <c r="F258" s="31">
        <f t="shared" si="3"/>
        <v>19.626274416634818</v>
      </c>
      <c r="G258" s="9">
        <f>'CDC Source Data'!F532</f>
        <v>0</v>
      </c>
      <c r="H258" s="7">
        <f>'CDC Source Data'!G532</f>
        <v>0</v>
      </c>
      <c r="I258" s="97">
        <v>25.6</v>
      </c>
      <c r="J258" s="97">
        <v>26.7</v>
      </c>
      <c r="K258" s="98">
        <v>339</v>
      </c>
      <c r="L258" s="98">
        <v>392</v>
      </c>
      <c r="M258" s="98">
        <v>398</v>
      </c>
      <c r="N258" s="98">
        <v>403</v>
      </c>
      <c r="O258" s="98">
        <v>404</v>
      </c>
      <c r="P258" s="98">
        <v>384</v>
      </c>
      <c r="Q258" s="98">
        <v>381</v>
      </c>
      <c r="R258" s="98">
        <v>412</v>
      </c>
      <c r="S258" s="98">
        <v>421</v>
      </c>
      <c r="T258" s="98">
        <v>427</v>
      </c>
      <c r="U258" s="98">
        <v>419</v>
      </c>
      <c r="V258" s="98">
        <v>398</v>
      </c>
      <c r="W258" s="98">
        <v>381</v>
      </c>
      <c r="X258" s="98">
        <v>364</v>
      </c>
      <c r="Y258" s="98">
        <v>350</v>
      </c>
      <c r="Z258" s="98">
        <v>312</v>
      </c>
      <c r="AA258" s="98">
        <v>296</v>
      </c>
      <c r="AB258" s="98">
        <v>284</v>
      </c>
      <c r="AC258" s="98">
        <v>247</v>
      </c>
      <c r="AD258" s="98">
        <v>223</v>
      </c>
      <c r="AE258" s="98">
        <v>192</v>
      </c>
      <c r="AF258" s="98">
        <v>179</v>
      </c>
      <c r="AG258" s="98">
        <v>194</v>
      </c>
    </row>
    <row r="259" spans="1:33" x14ac:dyDescent="0.3">
      <c r="A259" s="7">
        <v>254</v>
      </c>
      <c r="B259" s="7" t="s">
        <v>641</v>
      </c>
      <c r="C259" s="7" t="s">
        <v>604</v>
      </c>
      <c r="D259" s="8">
        <f>'CDC Source Data'!D555</f>
        <v>148813</v>
      </c>
      <c r="E259" s="8">
        <f>'CDC Source Data'!E555</f>
        <v>29</v>
      </c>
      <c r="F259" s="31">
        <f t="shared" si="3"/>
        <v>19.53815428897736</v>
      </c>
      <c r="G259" s="9">
        <f>'CDC Source Data'!F555</f>
        <v>0.13</v>
      </c>
      <c r="H259" s="7" t="str">
        <f>'CDC Source Data'!G555</f>
        <v>Completeness of provisional 2019 data under 90% after 6 months.</v>
      </c>
      <c r="I259" s="97">
        <v>14.2</v>
      </c>
      <c r="J259" s="97">
        <v>14.8</v>
      </c>
      <c r="K259" s="98">
        <v>13</v>
      </c>
      <c r="L259" s="98">
        <v>13</v>
      </c>
      <c r="M259" s="98">
        <v>15</v>
      </c>
      <c r="N259" s="98">
        <v>15</v>
      </c>
      <c r="O259" s="98">
        <v>17</v>
      </c>
      <c r="P259" s="98">
        <v>24</v>
      </c>
      <c r="Q259" s="98">
        <v>27</v>
      </c>
      <c r="R259" s="98">
        <v>30</v>
      </c>
      <c r="S259" s="98">
        <v>31</v>
      </c>
      <c r="T259" s="98">
        <v>31</v>
      </c>
      <c r="U259" s="98">
        <v>32</v>
      </c>
      <c r="V259" s="98">
        <v>30</v>
      </c>
      <c r="W259" s="98">
        <v>33</v>
      </c>
      <c r="X259" s="98">
        <v>28</v>
      </c>
      <c r="Y259" s="98">
        <v>28</v>
      </c>
      <c r="Z259" s="98">
        <v>30</v>
      </c>
      <c r="AA259" s="98">
        <v>30</v>
      </c>
      <c r="AB259" s="98">
        <v>38</v>
      </c>
      <c r="AC259" s="98">
        <v>39</v>
      </c>
      <c r="AD259" s="98">
        <v>39</v>
      </c>
      <c r="AE259" s="98">
        <v>36</v>
      </c>
      <c r="AF259" s="98">
        <v>28</v>
      </c>
      <c r="AG259" s="98">
        <v>29</v>
      </c>
    </row>
    <row r="260" spans="1:33" x14ac:dyDescent="0.3">
      <c r="A260" s="7">
        <v>255</v>
      </c>
      <c r="B260" s="7" t="s">
        <v>642</v>
      </c>
      <c r="C260" s="7" t="s">
        <v>239</v>
      </c>
      <c r="D260" s="8">
        <f>'CDC Source Data'!D238</f>
        <v>338696</v>
      </c>
      <c r="E260" s="8">
        <f>'CDC Source Data'!E238</f>
        <v>66</v>
      </c>
      <c r="F260" s="31">
        <f t="shared" si="3"/>
        <v>19.487544770954152</v>
      </c>
      <c r="G260" s="9">
        <f>'CDC Source Data'!F238</f>
        <v>0</v>
      </c>
      <c r="H260" s="7">
        <f>'CDC Source Data'!G238</f>
        <v>0</v>
      </c>
      <c r="I260" s="97">
        <v>17.8</v>
      </c>
      <c r="J260" s="97">
        <v>18.600000000000001</v>
      </c>
      <c r="K260" s="98">
        <v>75</v>
      </c>
      <c r="L260" s="98">
        <v>87</v>
      </c>
      <c r="M260" s="98">
        <v>95</v>
      </c>
      <c r="N260" s="98">
        <v>95</v>
      </c>
      <c r="O260" s="98">
        <v>105</v>
      </c>
      <c r="P260" s="98">
        <v>119</v>
      </c>
      <c r="Q260" s="98">
        <v>121</v>
      </c>
      <c r="R260" s="98">
        <v>124</v>
      </c>
      <c r="S260" s="98">
        <v>127</v>
      </c>
      <c r="T260" s="98">
        <v>108</v>
      </c>
      <c r="U260" s="98">
        <v>112</v>
      </c>
      <c r="V260" s="98">
        <v>120</v>
      </c>
      <c r="W260" s="98">
        <v>113</v>
      </c>
      <c r="X260" s="98">
        <v>127</v>
      </c>
      <c r="Y260" s="98">
        <v>126</v>
      </c>
      <c r="Z260" s="98">
        <v>124</v>
      </c>
      <c r="AA260" s="98">
        <v>114</v>
      </c>
      <c r="AB260" s="98">
        <v>97</v>
      </c>
      <c r="AC260" s="98">
        <v>83</v>
      </c>
      <c r="AD260" s="98">
        <v>68</v>
      </c>
      <c r="AE260" s="98">
        <v>70</v>
      </c>
      <c r="AF260" s="98">
        <v>66</v>
      </c>
      <c r="AG260" s="98">
        <v>66</v>
      </c>
    </row>
    <row r="261" spans="1:33" x14ac:dyDescent="0.3">
      <c r="A261" s="7">
        <v>256</v>
      </c>
      <c r="B261" s="7" t="s">
        <v>624</v>
      </c>
      <c r="C261" s="7" t="s">
        <v>230</v>
      </c>
      <c r="D261" s="8">
        <f>'CDC Source Data'!D213</f>
        <v>307942</v>
      </c>
      <c r="E261" s="8">
        <f>'CDC Source Data'!E213</f>
        <v>60</v>
      </c>
      <c r="F261" s="31">
        <f t="shared" si="3"/>
        <v>19.48650116919007</v>
      </c>
      <c r="G261" s="9">
        <f>'CDC Source Data'!F213</f>
        <v>0</v>
      </c>
      <c r="H261" s="7" t="str">
        <f>'CDC Source Data'!G213</f>
        <v>Completeness of provisional 2019 data under 90% after 6 months.</v>
      </c>
      <c r="I261" s="97">
        <v>33</v>
      </c>
      <c r="J261" s="97">
        <v>34.5</v>
      </c>
      <c r="K261" s="98">
        <v>87</v>
      </c>
      <c r="L261" s="98">
        <v>104</v>
      </c>
      <c r="M261" s="98">
        <v>110</v>
      </c>
      <c r="N261" s="98">
        <v>90</v>
      </c>
      <c r="O261" s="98">
        <v>90</v>
      </c>
      <c r="P261" s="98">
        <v>98</v>
      </c>
      <c r="Q261" s="98">
        <v>123</v>
      </c>
      <c r="R261" s="98">
        <v>142</v>
      </c>
      <c r="S261" s="98">
        <v>144</v>
      </c>
      <c r="T261" s="98">
        <v>147</v>
      </c>
      <c r="U261" s="98">
        <v>129</v>
      </c>
      <c r="V261" s="98">
        <v>127</v>
      </c>
      <c r="W261" s="98">
        <v>130</v>
      </c>
      <c r="X261" s="98">
        <v>114</v>
      </c>
      <c r="Y261" s="98">
        <v>117</v>
      </c>
      <c r="Z261" s="98">
        <v>115</v>
      </c>
      <c r="AA261" s="98">
        <v>100</v>
      </c>
      <c r="AB261" s="98">
        <v>103</v>
      </c>
      <c r="AC261" s="98">
        <v>94</v>
      </c>
      <c r="AD261" s="98">
        <v>82</v>
      </c>
      <c r="AE261" s="98">
        <v>78</v>
      </c>
      <c r="AF261" s="98">
        <v>61</v>
      </c>
      <c r="AG261" s="98">
        <v>60</v>
      </c>
    </row>
    <row r="262" spans="1:33" x14ac:dyDescent="0.3">
      <c r="A262" s="7">
        <v>257</v>
      </c>
      <c r="B262" s="7" t="s">
        <v>643</v>
      </c>
      <c r="C262" s="7" t="s">
        <v>458</v>
      </c>
      <c r="D262" s="8">
        <f>'CDC Source Data'!D215</f>
        <v>570745</v>
      </c>
      <c r="E262" s="8">
        <f>'CDC Source Data'!E215</f>
        <v>111</v>
      </c>
      <c r="F262" s="31">
        <f t="shared" ref="F262:F325" si="4">IFERROR(E261/D261*100000,"")</f>
        <v>19.484188580966546</v>
      </c>
      <c r="G262" s="9">
        <f>'CDC Source Data'!F215</f>
        <v>0</v>
      </c>
      <c r="H262" s="7">
        <f>'CDC Source Data'!G215</f>
        <v>0</v>
      </c>
      <c r="I262" s="97">
        <v>26.2</v>
      </c>
      <c r="J262" s="97">
        <v>27.3</v>
      </c>
      <c r="K262" s="98">
        <v>154</v>
      </c>
      <c r="L262" s="98">
        <v>168</v>
      </c>
      <c r="M262" s="98">
        <v>167</v>
      </c>
      <c r="N262" s="98">
        <v>178</v>
      </c>
      <c r="O262" s="98">
        <v>187</v>
      </c>
      <c r="P262" s="98">
        <v>211</v>
      </c>
      <c r="Q262" s="98">
        <v>239</v>
      </c>
      <c r="R262" s="98">
        <v>268</v>
      </c>
      <c r="S262" s="98">
        <v>271</v>
      </c>
      <c r="T262" s="98">
        <v>269</v>
      </c>
      <c r="U262" s="98">
        <v>279</v>
      </c>
      <c r="V262" s="98">
        <v>284</v>
      </c>
      <c r="W262" s="98">
        <v>302</v>
      </c>
      <c r="X262" s="98">
        <v>294</v>
      </c>
      <c r="Y262" s="98">
        <v>272</v>
      </c>
      <c r="Z262" s="98">
        <v>242</v>
      </c>
      <c r="AA262" s="98">
        <v>207</v>
      </c>
      <c r="AB262" s="98">
        <v>189</v>
      </c>
      <c r="AC262" s="98">
        <v>174</v>
      </c>
      <c r="AD262" s="98">
        <v>159</v>
      </c>
      <c r="AE262" s="98">
        <v>144</v>
      </c>
      <c r="AF262" s="98">
        <v>130</v>
      </c>
      <c r="AG262" s="98">
        <v>111</v>
      </c>
    </row>
    <row r="263" spans="1:33" x14ac:dyDescent="0.3">
      <c r="A263" s="7">
        <v>258</v>
      </c>
      <c r="B263" s="7" t="s">
        <v>644</v>
      </c>
      <c r="C263" s="7" t="s">
        <v>15</v>
      </c>
      <c r="D263" s="8">
        <f>'CDC Source Data'!D128</f>
        <v>1172607</v>
      </c>
      <c r="E263" s="8">
        <f>'CDC Source Data'!E128</f>
        <v>228</v>
      </c>
      <c r="F263" s="31">
        <f t="shared" si="4"/>
        <v>19.44826498699069</v>
      </c>
      <c r="G263" s="9">
        <f>'CDC Source Data'!F128</f>
        <v>0.13</v>
      </c>
      <c r="H263" s="7" t="str">
        <f>'CDC Source Data'!G128</f>
        <v>Completeness of provisional 2019 data under 90% after 6 months.</v>
      </c>
      <c r="I263" s="97">
        <v>15.1</v>
      </c>
      <c r="J263" s="97">
        <v>15.7</v>
      </c>
      <c r="K263" s="98">
        <v>176</v>
      </c>
      <c r="L263" s="98">
        <v>192</v>
      </c>
      <c r="M263" s="98">
        <v>221</v>
      </c>
      <c r="N263" s="98">
        <v>234</v>
      </c>
      <c r="O263" s="98">
        <v>255</v>
      </c>
      <c r="P263" s="98">
        <v>238</v>
      </c>
      <c r="Q263" s="98">
        <v>252</v>
      </c>
      <c r="R263" s="98">
        <v>265</v>
      </c>
      <c r="S263" s="98">
        <v>251</v>
      </c>
      <c r="T263" s="98">
        <v>261</v>
      </c>
      <c r="U263" s="98">
        <v>254</v>
      </c>
      <c r="V263" s="98">
        <v>253</v>
      </c>
      <c r="W263" s="98">
        <v>262</v>
      </c>
      <c r="X263" s="98">
        <v>264</v>
      </c>
      <c r="Y263" s="98">
        <v>268</v>
      </c>
      <c r="Z263" s="98">
        <v>272</v>
      </c>
      <c r="AA263" s="98">
        <v>269</v>
      </c>
      <c r="AB263" s="98">
        <v>261</v>
      </c>
      <c r="AC263" s="98">
        <v>239</v>
      </c>
      <c r="AD263" s="98">
        <v>223</v>
      </c>
      <c r="AE263" s="98">
        <v>211</v>
      </c>
      <c r="AF263" s="98">
        <v>214</v>
      </c>
      <c r="AG263" s="98">
        <v>228</v>
      </c>
    </row>
    <row r="264" spans="1:33" x14ac:dyDescent="0.3">
      <c r="A264" s="7">
        <v>259</v>
      </c>
      <c r="B264" s="7" t="s">
        <v>645</v>
      </c>
      <c r="C264" s="7" t="s">
        <v>27</v>
      </c>
      <c r="D264" s="8">
        <f>'CDC Source Data'!D548</f>
        <v>211721</v>
      </c>
      <c r="E264" s="8">
        <f>'CDC Source Data'!E548</f>
        <v>41</v>
      </c>
      <c r="F264" s="31">
        <f t="shared" si="4"/>
        <v>19.443854590668487</v>
      </c>
      <c r="G264" s="9">
        <f>'CDC Source Data'!F548</f>
        <v>0.28999999999999998</v>
      </c>
      <c r="H264" s="7">
        <f>'CDC Source Data'!G548</f>
        <v>0</v>
      </c>
      <c r="I264" s="97">
        <v>22.6</v>
      </c>
      <c r="J264" s="97">
        <v>23.6</v>
      </c>
      <c r="K264" s="98">
        <v>47</v>
      </c>
      <c r="L264" s="98">
        <v>59</v>
      </c>
      <c r="M264" s="98">
        <v>63</v>
      </c>
      <c r="N264" s="98">
        <v>68</v>
      </c>
      <c r="O264" s="98">
        <v>80</v>
      </c>
      <c r="P264" s="98">
        <v>80</v>
      </c>
      <c r="Q264" s="98">
        <v>89</v>
      </c>
      <c r="R264" s="98">
        <v>93</v>
      </c>
      <c r="S264" s="98">
        <v>84</v>
      </c>
      <c r="T264" s="98">
        <v>74</v>
      </c>
      <c r="U264" s="98">
        <v>66</v>
      </c>
      <c r="V264" s="98">
        <v>61</v>
      </c>
      <c r="W264" s="98">
        <v>61</v>
      </c>
      <c r="X264" s="98">
        <v>70</v>
      </c>
      <c r="Y264" s="98">
        <v>67</v>
      </c>
      <c r="Z264" s="98">
        <v>68</v>
      </c>
      <c r="AA264" s="98">
        <v>64</v>
      </c>
      <c r="AB264" s="98">
        <v>58</v>
      </c>
      <c r="AC264" s="98">
        <v>56</v>
      </c>
      <c r="AD264" s="98">
        <v>48</v>
      </c>
      <c r="AE264" s="98">
        <v>51</v>
      </c>
      <c r="AF264" s="98">
        <v>45</v>
      </c>
      <c r="AG264" s="98">
        <v>41</v>
      </c>
    </row>
    <row r="265" spans="1:33" x14ac:dyDescent="0.3">
      <c r="A265" s="7">
        <v>260</v>
      </c>
      <c r="B265" s="7" t="s">
        <v>646</v>
      </c>
      <c r="C265" s="7" t="s">
        <v>237</v>
      </c>
      <c r="D265" s="8">
        <f>'CDC Source Data'!D410</f>
        <v>666434</v>
      </c>
      <c r="E265" s="8">
        <f>'CDC Source Data'!E410</f>
        <v>129</v>
      </c>
      <c r="F265" s="31">
        <f t="shared" si="4"/>
        <v>19.365107854204354</v>
      </c>
      <c r="G265" s="9">
        <f>'CDC Source Data'!F410</f>
        <v>7.0000000000000007E-2</v>
      </c>
      <c r="H265" s="7" t="str">
        <f>'CDC Source Data'!G410</f>
        <v>Completeness of provisional 2019 data under 90% after 6 months.</v>
      </c>
      <c r="I265" s="97">
        <v>26.8</v>
      </c>
      <c r="J265" s="97">
        <v>28</v>
      </c>
      <c r="K265" s="98">
        <v>212</v>
      </c>
      <c r="L265" s="98">
        <v>231</v>
      </c>
      <c r="M265" s="98">
        <v>234</v>
      </c>
      <c r="N265" s="98">
        <v>230</v>
      </c>
      <c r="O265" s="98">
        <v>230</v>
      </c>
      <c r="P265" s="98">
        <v>234</v>
      </c>
      <c r="Q265" s="98">
        <v>239</v>
      </c>
      <c r="R265" s="98">
        <v>230</v>
      </c>
      <c r="S265" s="98">
        <v>230</v>
      </c>
      <c r="T265" s="98">
        <v>221</v>
      </c>
      <c r="U265" s="98">
        <v>211</v>
      </c>
      <c r="V265" s="98">
        <v>213</v>
      </c>
      <c r="W265" s="98">
        <v>207</v>
      </c>
      <c r="X265" s="98">
        <v>209</v>
      </c>
      <c r="Y265" s="98">
        <v>208</v>
      </c>
      <c r="Z265" s="98">
        <v>192</v>
      </c>
      <c r="AA265" s="98">
        <v>183</v>
      </c>
      <c r="AB265" s="98">
        <v>162</v>
      </c>
      <c r="AC265" s="98">
        <v>150</v>
      </c>
      <c r="AD265" s="98">
        <v>156</v>
      </c>
      <c r="AE265" s="98">
        <v>146</v>
      </c>
      <c r="AF265" s="98">
        <v>136</v>
      </c>
      <c r="AG265" s="98">
        <v>129</v>
      </c>
    </row>
    <row r="266" spans="1:33" x14ac:dyDescent="0.3">
      <c r="A266" s="7">
        <v>261</v>
      </c>
      <c r="B266" s="7" t="s">
        <v>647</v>
      </c>
      <c r="C266" s="7" t="s">
        <v>604</v>
      </c>
      <c r="D266" s="8">
        <f>'CDC Source Data'!D408</f>
        <v>353125</v>
      </c>
      <c r="E266" s="8">
        <f>'CDC Source Data'!E408</f>
        <v>68</v>
      </c>
      <c r="F266" s="31">
        <f t="shared" si="4"/>
        <v>19.356755507672176</v>
      </c>
      <c r="G266" s="9">
        <f>'CDC Source Data'!F408</f>
        <v>0</v>
      </c>
      <c r="H266" s="7" t="str">
        <f>'CDC Source Data'!G408</f>
        <v>Completeness of provisional 2019 data under 90% after 6 months.</v>
      </c>
      <c r="I266" s="97">
        <v>21.7</v>
      </c>
      <c r="J266" s="97">
        <v>22.6</v>
      </c>
      <c r="K266" s="98">
        <v>53</v>
      </c>
      <c r="L266" s="98">
        <v>73</v>
      </c>
      <c r="M266" s="98">
        <v>84</v>
      </c>
      <c r="N266" s="98">
        <v>93</v>
      </c>
      <c r="O266" s="98">
        <v>94</v>
      </c>
      <c r="P266" s="98">
        <v>89</v>
      </c>
      <c r="Q266" s="98">
        <v>102</v>
      </c>
      <c r="R266" s="98">
        <v>99</v>
      </c>
      <c r="S266" s="98">
        <v>110</v>
      </c>
      <c r="T266" s="98">
        <v>104</v>
      </c>
      <c r="U266" s="98">
        <v>95</v>
      </c>
      <c r="V266" s="98">
        <v>92</v>
      </c>
      <c r="W266" s="98">
        <v>65</v>
      </c>
      <c r="X266" s="98">
        <v>65</v>
      </c>
      <c r="Y266" s="98">
        <v>63</v>
      </c>
      <c r="Z266" s="98">
        <v>62</v>
      </c>
      <c r="AA266" s="98">
        <v>64</v>
      </c>
      <c r="AB266" s="98">
        <v>63</v>
      </c>
      <c r="AC266" s="98">
        <v>60</v>
      </c>
      <c r="AD266" s="98">
        <v>66</v>
      </c>
      <c r="AE266" s="98">
        <v>72</v>
      </c>
      <c r="AF266" s="98">
        <v>68</v>
      </c>
      <c r="AG266" s="98">
        <v>68</v>
      </c>
    </row>
    <row r="267" spans="1:33" x14ac:dyDescent="0.3">
      <c r="A267" s="7">
        <v>262</v>
      </c>
      <c r="B267" s="7" t="s">
        <v>648</v>
      </c>
      <c r="C267" s="7" t="s">
        <v>17</v>
      </c>
      <c r="D267" s="8">
        <f>'CDC Source Data'!D362</f>
        <v>161260</v>
      </c>
      <c r="E267" s="8">
        <f>'CDC Source Data'!E362</f>
        <v>31</v>
      </c>
      <c r="F267" s="31">
        <f t="shared" si="4"/>
        <v>19.256637168141591</v>
      </c>
      <c r="G267" s="9">
        <f>'CDC Source Data'!F362</f>
        <v>0.06</v>
      </c>
      <c r="H267" s="7">
        <f>'CDC Source Data'!G362</f>
        <v>0</v>
      </c>
      <c r="I267" s="97">
        <v>21.1</v>
      </c>
      <c r="J267" s="97">
        <v>22.1</v>
      </c>
      <c r="K267" s="98">
        <v>30</v>
      </c>
      <c r="L267" s="98">
        <v>38</v>
      </c>
      <c r="M267" s="98">
        <v>41</v>
      </c>
      <c r="N267" s="98">
        <v>41</v>
      </c>
      <c r="O267" s="98">
        <v>39</v>
      </c>
      <c r="P267" s="98">
        <v>42</v>
      </c>
      <c r="Q267" s="98">
        <v>40</v>
      </c>
      <c r="R267" s="98">
        <v>37</v>
      </c>
      <c r="S267" s="98">
        <v>39</v>
      </c>
      <c r="T267" s="98">
        <v>32</v>
      </c>
      <c r="U267" s="98">
        <v>41</v>
      </c>
      <c r="V267" s="98">
        <v>39</v>
      </c>
      <c r="W267" s="98">
        <v>34</v>
      </c>
      <c r="X267" s="98">
        <v>38</v>
      </c>
      <c r="Y267" s="98">
        <v>34</v>
      </c>
      <c r="Z267" s="98">
        <v>38</v>
      </c>
      <c r="AA267" s="98">
        <v>43</v>
      </c>
      <c r="AB267" s="98">
        <v>37</v>
      </c>
      <c r="AC267" s="98">
        <v>31</v>
      </c>
      <c r="AD267" s="98">
        <v>31</v>
      </c>
      <c r="AE267" s="98">
        <v>31</v>
      </c>
      <c r="AF267" s="98">
        <v>32</v>
      </c>
      <c r="AG267" s="98">
        <v>31</v>
      </c>
    </row>
    <row r="268" spans="1:33" x14ac:dyDescent="0.3">
      <c r="A268" s="7">
        <v>263</v>
      </c>
      <c r="B268" s="7" t="s">
        <v>649</v>
      </c>
      <c r="C268" s="7" t="s">
        <v>623</v>
      </c>
      <c r="D268" s="8">
        <f>'CDC Source Data'!D191</f>
        <v>114527</v>
      </c>
      <c r="E268" s="8">
        <f>'CDC Source Data'!E191</f>
        <v>22</v>
      </c>
      <c r="F268" s="31">
        <f t="shared" si="4"/>
        <v>19.223614039439415</v>
      </c>
      <c r="G268" s="9">
        <f>'CDC Source Data'!F191</f>
        <v>0</v>
      </c>
      <c r="H268" s="7">
        <f>'CDC Source Data'!G191</f>
        <v>0</v>
      </c>
      <c r="I268" s="97">
        <v>16.5</v>
      </c>
      <c r="J268" s="97">
        <v>17.2</v>
      </c>
      <c r="K268" s="98">
        <v>13</v>
      </c>
      <c r="L268" s="98">
        <v>13</v>
      </c>
      <c r="M268" s="98">
        <v>12</v>
      </c>
      <c r="N268" s="98">
        <v>14</v>
      </c>
      <c r="O268" s="98">
        <v>15</v>
      </c>
      <c r="P268" s="98">
        <v>15</v>
      </c>
      <c r="Q268" s="98">
        <v>15</v>
      </c>
      <c r="R268" s="98">
        <v>16</v>
      </c>
      <c r="S268" s="98">
        <v>17</v>
      </c>
      <c r="T268" s="98">
        <v>17</v>
      </c>
      <c r="U268" s="98">
        <v>18</v>
      </c>
      <c r="V268" s="98">
        <v>21</v>
      </c>
      <c r="W268" s="98">
        <v>18</v>
      </c>
      <c r="X268" s="98">
        <v>16</v>
      </c>
      <c r="Y268" s="98">
        <v>17</v>
      </c>
      <c r="Z268" s="98">
        <v>17</v>
      </c>
      <c r="AA268" s="98">
        <v>21</v>
      </c>
      <c r="AB268" s="98">
        <v>22</v>
      </c>
      <c r="AC268" s="98">
        <v>23</v>
      </c>
      <c r="AD268" s="98">
        <v>22</v>
      </c>
      <c r="AE268" s="98">
        <v>21</v>
      </c>
      <c r="AF268" s="98">
        <v>26</v>
      </c>
      <c r="AG268" s="98">
        <v>22</v>
      </c>
    </row>
    <row r="269" spans="1:33" x14ac:dyDescent="0.3">
      <c r="A269" s="7">
        <v>264</v>
      </c>
      <c r="B269" s="7" t="s">
        <v>650</v>
      </c>
      <c r="C269" s="7" t="s">
        <v>15</v>
      </c>
      <c r="D269" s="8">
        <f>'CDC Source Data'!D173</f>
        <v>192823</v>
      </c>
      <c r="E269" s="8">
        <f>'CDC Source Data'!E173</f>
        <v>37</v>
      </c>
      <c r="F269" s="31">
        <f t="shared" si="4"/>
        <v>19.209444061225735</v>
      </c>
      <c r="G269" s="9">
        <f>'CDC Source Data'!F173</f>
        <v>0.11</v>
      </c>
      <c r="H269" s="7" t="str">
        <f>'CDC Source Data'!G173</f>
        <v>Completeness of provisional 2019 data under 90% after 6 months.</v>
      </c>
      <c r="I269" s="97">
        <v>24.7</v>
      </c>
      <c r="J269" s="97">
        <v>25.8</v>
      </c>
      <c r="K269" s="98">
        <v>28</v>
      </c>
      <c r="L269" s="98">
        <v>30</v>
      </c>
      <c r="M269" s="98">
        <v>32</v>
      </c>
      <c r="N269" s="98">
        <v>39</v>
      </c>
      <c r="O269" s="98">
        <v>38</v>
      </c>
      <c r="P269" s="98">
        <v>43</v>
      </c>
      <c r="Q269" s="98">
        <v>51</v>
      </c>
      <c r="R269" s="98">
        <v>49</v>
      </c>
      <c r="S269" s="98">
        <v>52</v>
      </c>
      <c r="T269" s="98">
        <v>49</v>
      </c>
      <c r="U269" s="98">
        <v>44</v>
      </c>
      <c r="V269" s="98">
        <v>48</v>
      </c>
      <c r="W269" s="98">
        <v>49</v>
      </c>
      <c r="X269" s="98">
        <v>46</v>
      </c>
      <c r="Y269" s="98">
        <v>47</v>
      </c>
      <c r="Z269" s="98">
        <v>40</v>
      </c>
      <c r="AA269" s="98">
        <v>40</v>
      </c>
      <c r="AB269" s="98">
        <v>40</v>
      </c>
      <c r="AC269" s="98">
        <v>37</v>
      </c>
      <c r="AD269" s="98">
        <v>36</v>
      </c>
      <c r="AE269" s="98">
        <v>32</v>
      </c>
      <c r="AF269" s="98">
        <v>36</v>
      </c>
      <c r="AG269" s="98">
        <v>37</v>
      </c>
    </row>
    <row r="270" spans="1:33" x14ac:dyDescent="0.3">
      <c r="A270" s="7">
        <v>265</v>
      </c>
      <c r="B270" s="7" t="s">
        <v>487</v>
      </c>
      <c r="C270" s="7" t="s">
        <v>32</v>
      </c>
      <c r="D270" s="8">
        <f>'CDC Source Data'!D376</f>
        <v>752202</v>
      </c>
      <c r="E270" s="8">
        <f>'CDC Source Data'!E376</f>
        <v>144</v>
      </c>
      <c r="F270" s="31">
        <f t="shared" si="4"/>
        <v>19.188582274936081</v>
      </c>
      <c r="G270" s="9">
        <f>'CDC Source Data'!F376</f>
        <v>1.85</v>
      </c>
      <c r="H270" s="7">
        <f>'CDC Source Data'!G376</f>
        <v>0</v>
      </c>
      <c r="I270" s="97">
        <v>18.600000000000001</v>
      </c>
      <c r="J270" s="97">
        <v>19.399999999999999</v>
      </c>
      <c r="K270" s="98">
        <v>247</v>
      </c>
      <c r="L270" s="98">
        <v>262</v>
      </c>
      <c r="M270" s="98">
        <v>263</v>
      </c>
      <c r="N270" s="98">
        <v>272</v>
      </c>
      <c r="O270" s="98">
        <v>262</v>
      </c>
      <c r="P270" s="98">
        <v>243</v>
      </c>
      <c r="Q270" s="98">
        <v>224</v>
      </c>
      <c r="R270" s="98">
        <v>196</v>
      </c>
      <c r="S270" s="98">
        <v>216</v>
      </c>
      <c r="T270" s="98">
        <v>250</v>
      </c>
      <c r="U270" s="98">
        <v>284</v>
      </c>
      <c r="V270" s="98">
        <v>331</v>
      </c>
      <c r="W270" s="98">
        <v>349</v>
      </c>
      <c r="X270" s="98">
        <v>396</v>
      </c>
      <c r="Y270" s="98">
        <v>417</v>
      </c>
      <c r="Z270" s="98">
        <v>451</v>
      </c>
      <c r="AA270" s="98">
        <v>437</v>
      </c>
      <c r="AB270" s="98">
        <v>377</v>
      </c>
      <c r="AC270" s="98">
        <v>332</v>
      </c>
      <c r="AD270" s="98">
        <v>270</v>
      </c>
      <c r="AE270" s="98">
        <v>216</v>
      </c>
      <c r="AF270" s="98">
        <v>186</v>
      </c>
      <c r="AG270" s="98">
        <v>144</v>
      </c>
    </row>
    <row r="271" spans="1:33" x14ac:dyDescent="0.3">
      <c r="A271" s="7">
        <v>266</v>
      </c>
      <c r="B271" s="7" t="s">
        <v>651</v>
      </c>
      <c r="C271" s="7" t="s">
        <v>262</v>
      </c>
      <c r="D271" s="8">
        <f>'CDC Source Data'!D129</f>
        <v>5182617</v>
      </c>
      <c r="E271" s="8">
        <f>'CDC Source Data'!E129</f>
        <v>988</v>
      </c>
      <c r="F271" s="31">
        <f t="shared" si="4"/>
        <v>19.143793821340545</v>
      </c>
      <c r="G271" s="9">
        <f>'CDC Source Data'!F129</f>
        <v>0.25</v>
      </c>
      <c r="H271" s="7">
        <f>'CDC Source Data'!G129</f>
        <v>0</v>
      </c>
      <c r="I271" s="97">
        <v>21.2</v>
      </c>
      <c r="J271" s="97">
        <v>22.2</v>
      </c>
      <c r="K271" s="100"/>
      <c r="L271" s="100"/>
      <c r="M271" s="100"/>
      <c r="N271" s="100"/>
      <c r="O271" s="100"/>
      <c r="P271" s="100"/>
      <c r="Q271" s="100"/>
      <c r="R271" s="100"/>
      <c r="S271" s="100"/>
      <c r="T271" s="100"/>
      <c r="U271" s="100"/>
      <c r="V271" s="100"/>
      <c r="W271" s="100"/>
      <c r="X271" s="100"/>
      <c r="Y271" s="100"/>
      <c r="Z271" s="100"/>
      <c r="AA271" s="100"/>
      <c r="AB271" s="100"/>
      <c r="AC271" s="100"/>
      <c r="AD271" s="98"/>
      <c r="AE271" s="98"/>
      <c r="AF271" s="98"/>
      <c r="AG271" s="98">
        <v>988</v>
      </c>
    </row>
    <row r="272" spans="1:33" x14ac:dyDescent="0.3">
      <c r="A272" s="7">
        <v>267</v>
      </c>
      <c r="B272" s="7" t="s">
        <v>541</v>
      </c>
      <c r="C272" s="7" t="s">
        <v>19</v>
      </c>
      <c r="D272" s="8">
        <f>'CDC Source Data'!D73</f>
        <v>199341</v>
      </c>
      <c r="E272" s="8">
        <f>'CDC Source Data'!E73</f>
        <v>38</v>
      </c>
      <c r="F272" s="31">
        <f t="shared" si="4"/>
        <v>19.063727842516627</v>
      </c>
      <c r="G272" s="9">
        <f>'CDC Source Data'!F73</f>
        <v>0</v>
      </c>
      <c r="H272" s="7">
        <f>'CDC Source Data'!G73</f>
        <v>0</v>
      </c>
      <c r="I272" s="97">
        <v>27.7</v>
      </c>
      <c r="J272" s="97">
        <v>28.9</v>
      </c>
      <c r="K272" s="98">
        <v>68</v>
      </c>
      <c r="L272" s="98">
        <v>68</v>
      </c>
      <c r="M272" s="98">
        <v>73</v>
      </c>
      <c r="N272" s="98">
        <v>76</v>
      </c>
      <c r="O272" s="98">
        <v>77</v>
      </c>
      <c r="P272" s="98">
        <v>82</v>
      </c>
      <c r="Q272" s="98">
        <v>78</v>
      </c>
      <c r="R272" s="98">
        <v>68</v>
      </c>
      <c r="S272" s="98">
        <v>78</v>
      </c>
      <c r="T272" s="98">
        <v>64</v>
      </c>
      <c r="U272" s="98">
        <v>59</v>
      </c>
      <c r="V272" s="98">
        <v>70</v>
      </c>
      <c r="W272" s="98">
        <v>58</v>
      </c>
      <c r="X272" s="98">
        <v>56</v>
      </c>
      <c r="Y272" s="98">
        <v>54</v>
      </c>
      <c r="Z272" s="98">
        <v>49</v>
      </c>
      <c r="AA272" s="98">
        <v>43</v>
      </c>
      <c r="AB272" s="98">
        <v>49</v>
      </c>
      <c r="AC272" s="98">
        <v>52</v>
      </c>
      <c r="AD272" s="98">
        <v>47</v>
      </c>
      <c r="AE272" s="98">
        <v>47</v>
      </c>
      <c r="AF272" s="98">
        <v>44</v>
      </c>
      <c r="AG272" s="98">
        <v>38</v>
      </c>
    </row>
    <row r="273" spans="1:33" x14ac:dyDescent="0.3">
      <c r="A273" s="7">
        <v>268</v>
      </c>
      <c r="B273" s="7" t="s">
        <v>652</v>
      </c>
      <c r="C273" s="7" t="s">
        <v>239</v>
      </c>
      <c r="D273" s="8">
        <f>'CDC Source Data'!D405</f>
        <v>231105</v>
      </c>
      <c r="E273" s="8">
        <f>'CDC Source Data'!E405</f>
        <v>44</v>
      </c>
      <c r="F273" s="31">
        <f t="shared" si="4"/>
        <v>19.062811965426079</v>
      </c>
      <c r="G273" s="9">
        <f>'CDC Source Data'!F405</f>
        <v>0</v>
      </c>
      <c r="H273" s="7">
        <f>'CDC Source Data'!G405</f>
        <v>0</v>
      </c>
      <c r="I273" s="97">
        <v>21.4</v>
      </c>
      <c r="J273" s="97">
        <v>22.4</v>
      </c>
      <c r="K273" s="98">
        <v>52</v>
      </c>
      <c r="L273" s="98">
        <v>61</v>
      </c>
      <c r="M273" s="98">
        <v>66</v>
      </c>
      <c r="N273" s="98">
        <v>78</v>
      </c>
      <c r="O273" s="98">
        <v>93</v>
      </c>
      <c r="P273" s="98">
        <v>97</v>
      </c>
      <c r="Q273" s="98">
        <v>106</v>
      </c>
      <c r="R273" s="98">
        <v>112</v>
      </c>
      <c r="S273" s="98">
        <v>117</v>
      </c>
      <c r="T273" s="98">
        <v>113</v>
      </c>
      <c r="U273" s="98">
        <v>115</v>
      </c>
      <c r="V273" s="98">
        <v>117</v>
      </c>
      <c r="W273" s="98">
        <v>109</v>
      </c>
      <c r="X273" s="98">
        <v>118</v>
      </c>
      <c r="Y273" s="98">
        <v>124</v>
      </c>
      <c r="Z273" s="98">
        <v>117</v>
      </c>
      <c r="AA273" s="98">
        <v>109</v>
      </c>
      <c r="AB273" s="98">
        <v>97</v>
      </c>
      <c r="AC273" s="98">
        <v>76</v>
      </c>
      <c r="AD273" s="98">
        <v>58</v>
      </c>
      <c r="AE273" s="98">
        <v>55</v>
      </c>
      <c r="AF273" s="98">
        <v>44</v>
      </c>
      <c r="AG273" s="98">
        <v>44</v>
      </c>
    </row>
    <row r="274" spans="1:33" x14ac:dyDescent="0.3">
      <c r="A274" s="7">
        <v>269</v>
      </c>
      <c r="B274" s="7" t="s">
        <v>653</v>
      </c>
      <c r="C274" s="7" t="s">
        <v>590</v>
      </c>
      <c r="D274" s="8">
        <f>'CDC Source Data'!D361</f>
        <v>157869</v>
      </c>
      <c r="E274" s="8">
        <f>'CDC Source Data'!E361</f>
        <v>30</v>
      </c>
      <c r="F274" s="31">
        <f t="shared" si="4"/>
        <v>19.03896497263149</v>
      </c>
      <c r="G274" s="9">
        <f>'CDC Source Data'!F361</f>
        <v>0.13</v>
      </c>
      <c r="H274" s="7" t="str">
        <f>'CDC Source Data'!G361</f>
        <v>Completeness of provisional 2019 data under 90% after 6 months.</v>
      </c>
      <c r="I274" s="97">
        <v>23.7</v>
      </c>
      <c r="J274" s="97">
        <v>24.8</v>
      </c>
      <c r="K274" s="98">
        <v>37</v>
      </c>
      <c r="L274" s="98">
        <v>44</v>
      </c>
      <c r="M274" s="98">
        <v>44</v>
      </c>
      <c r="N274" s="98">
        <v>46</v>
      </c>
      <c r="O274" s="98">
        <v>42</v>
      </c>
      <c r="P274" s="98">
        <v>41</v>
      </c>
      <c r="Q274" s="98">
        <v>44</v>
      </c>
      <c r="R274" s="98">
        <v>45</v>
      </c>
      <c r="S274" s="98">
        <v>49</v>
      </c>
      <c r="T274" s="98">
        <v>52</v>
      </c>
      <c r="U274" s="98">
        <v>49</v>
      </c>
      <c r="V274" s="98">
        <v>45</v>
      </c>
      <c r="W274" s="98">
        <v>41</v>
      </c>
      <c r="X274" s="98">
        <v>42</v>
      </c>
      <c r="Y274" s="98">
        <v>41</v>
      </c>
      <c r="Z274" s="98">
        <v>45</v>
      </c>
      <c r="AA274" s="98">
        <v>52</v>
      </c>
      <c r="AB274" s="98">
        <v>42</v>
      </c>
      <c r="AC274" s="98">
        <v>36</v>
      </c>
      <c r="AD274" s="98">
        <v>33</v>
      </c>
      <c r="AE274" s="98">
        <v>25</v>
      </c>
      <c r="AF274" s="98">
        <v>28</v>
      </c>
      <c r="AG274" s="98">
        <v>30</v>
      </c>
    </row>
    <row r="275" spans="1:33" x14ac:dyDescent="0.3">
      <c r="A275" s="7">
        <v>270</v>
      </c>
      <c r="B275" s="7" t="s">
        <v>654</v>
      </c>
      <c r="C275" s="7" t="s">
        <v>480</v>
      </c>
      <c r="D275" s="8">
        <f>'CDC Source Data'!D48</f>
        <v>152703</v>
      </c>
      <c r="E275" s="8">
        <f>'CDC Source Data'!E48</f>
        <v>29</v>
      </c>
      <c r="F275" s="31">
        <f t="shared" si="4"/>
        <v>19.003097504893297</v>
      </c>
      <c r="G275" s="9">
        <f>'CDC Source Data'!F48</f>
        <v>0.33</v>
      </c>
      <c r="H275" s="7">
        <f>'CDC Source Data'!G48</f>
        <v>0</v>
      </c>
      <c r="I275" s="97">
        <v>19.8</v>
      </c>
      <c r="J275" s="97">
        <v>20.6</v>
      </c>
      <c r="K275" s="98">
        <v>23</v>
      </c>
      <c r="L275" s="98">
        <v>25</v>
      </c>
      <c r="M275" s="98">
        <v>25</v>
      </c>
      <c r="N275" s="98">
        <v>28</v>
      </c>
      <c r="O275" s="98">
        <v>30</v>
      </c>
      <c r="P275" s="98">
        <v>32</v>
      </c>
      <c r="Q275" s="98">
        <v>38</v>
      </c>
      <c r="R275" s="98">
        <v>37</v>
      </c>
      <c r="S275" s="98">
        <v>47</v>
      </c>
      <c r="T275" s="98">
        <v>45</v>
      </c>
      <c r="U275" s="98">
        <v>44</v>
      </c>
      <c r="V275" s="98">
        <v>53</v>
      </c>
      <c r="W275" s="98">
        <v>50</v>
      </c>
      <c r="X275" s="98">
        <v>59</v>
      </c>
      <c r="Y275" s="98">
        <v>57</v>
      </c>
      <c r="Z275" s="98">
        <v>49</v>
      </c>
      <c r="AA275" s="98">
        <v>43</v>
      </c>
      <c r="AB275" s="98">
        <v>35</v>
      </c>
      <c r="AC275" s="98">
        <v>36</v>
      </c>
      <c r="AD275" s="98">
        <v>35</v>
      </c>
      <c r="AE275" s="98">
        <v>36</v>
      </c>
      <c r="AF275" s="98">
        <v>36</v>
      </c>
      <c r="AG275" s="98">
        <v>29</v>
      </c>
    </row>
    <row r="276" spans="1:33" x14ac:dyDescent="0.3">
      <c r="A276" s="7">
        <v>271</v>
      </c>
      <c r="B276" s="7" t="s">
        <v>34</v>
      </c>
      <c r="C276" s="7" t="s">
        <v>21</v>
      </c>
      <c r="D276" s="8">
        <f>'CDC Source Data'!D347</f>
        <v>352867</v>
      </c>
      <c r="E276" s="8">
        <f>'CDC Source Data'!E347</f>
        <v>67</v>
      </c>
      <c r="F276" s="31">
        <f t="shared" si="4"/>
        <v>18.991113468628644</v>
      </c>
      <c r="G276" s="9">
        <f>'CDC Source Data'!F347</f>
        <v>0.55000000000000004</v>
      </c>
      <c r="H276" s="7">
        <f>'CDC Source Data'!G347</f>
        <v>0</v>
      </c>
      <c r="I276" s="97">
        <v>14.5</v>
      </c>
      <c r="J276" s="97">
        <v>15.1</v>
      </c>
      <c r="K276" s="98">
        <v>40</v>
      </c>
      <c r="L276" s="98">
        <v>44</v>
      </c>
      <c r="M276" s="98">
        <v>52</v>
      </c>
      <c r="N276" s="98">
        <v>60</v>
      </c>
      <c r="O276" s="98">
        <v>64</v>
      </c>
      <c r="P276" s="98">
        <v>80</v>
      </c>
      <c r="Q276" s="98">
        <v>86</v>
      </c>
      <c r="R276" s="98">
        <v>94</v>
      </c>
      <c r="S276" s="98">
        <v>95</v>
      </c>
      <c r="T276" s="98">
        <v>84</v>
      </c>
      <c r="U276" s="98">
        <v>84</v>
      </c>
      <c r="V276" s="98">
        <v>86</v>
      </c>
      <c r="W276" s="98">
        <v>92</v>
      </c>
      <c r="X276" s="98">
        <v>97</v>
      </c>
      <c r="Y276" s="98">
        <v>121</v>
      </c>
      <c r="Z276" s="98">
        <v>134</v>
      </c>
      <c r="AA276" s="98">
        <v>145</v>
      </c>
      <c r="AB276" s="98">
        <v>143</v>
      </c>
      <c r="AC276" s="98">
        <v>120</v>
      </c>
      <c r="AD276" s="98">
        <v>99</v>
      </c>
      <c r="AE276" s="98">
        <v>92</v>
      </c>
      <c r="AF276" s="98">
        <v>83</v>
      </c>
      <c r="AG276" s="98">
        <v>67</v>
      </c>
    </row>
    <row r="277" spans="1:33" x14ac:dyDescent="0.3">
      <c r="A277" s="7">
        <v>272</v>
      </c>
      <c r="B277" s="7" t="s">
        <v>655</v>
      </c>
      <c r="C277" s="7" t="s">
        <v>35</v>
      </c>
      <c r="D277" s="8">
        <f>'CDC Source Data'!D571</f>
        <v>180387</v>
      </c>
      <c r="E277" s="8">
        <f>'CDC Source Data'!E571</f>
        <v>34</v>
      </c>
      <c r="F277" s="31">
        <f t="shared" si="4"/>
        <v>18.987323835892841</v>
      </c>
      <c r="G277" s="9">
        <f>'CDC Source Data'!F571</f>
        <v>0</v>
      </c>
      <c r="H277" s="7">
        <f>'CDC Source Data'!G571</f>
        <v>0</v>
      </c>
      <c r="I277" s="97">
        <v>30.3</v>
      </c>
      <c r="J277" s="97">
        <v>31.6</v>
      </c>
      <c r="K277" s="98">
        <v>31</v>
      </c>
      <c r="L277" s="98">
        <v>36</v>
      </c>
      <c r="M277" s="98">
        <v>45</v>
      </c>
      <c r="N277" s="98">
        <v>48</v>
      </c>
      <c r="O277" s="98">
        <v>68</v>
      </c>
      <c r="P277" s="98">
        <v>73</v>
      </c>
      <c r="Q277" s="98">
        <v>81</v>
      </c>
      <c r="R277" s="98">
        <v>89</v>
      </c>
      <c r="S277" s="98">
        <v>80</v>
      </c>
      <c r="T277" s="98">
        <v>77</v>
      </c>
      <c r="U277" s="98">
        <v>74</v>
      </c>
      <c r="V277" s="98">
        <v>74</v>
      </c>
      <c r="W277" s="98">
        <v>75</v>
      </c>
      <c r="X277" s="98">
        <v>67</v>
      </c>
      <c r="Y277" s="98">
        <v>59</v>
      </c>
      <c r="Z277" s="98">
        <v>48</v>
      </c>
      <c r="AA277" s="98">
        <v>44</v>
      </c>
      <c r="AB277" s="98">
        <v>45</v>
      </c>
      <c r="AC277" s="98">
        <v>41</v>
      </c>
      <c r="AD277" s="98">
        <v>38</v>
      </c>
      <c r="AE277" s="98">
        <v>31</v>
      </c>
      <c r="AF277" s="98">
        <v>33</v>
      </c>
      <c r="AG277" s="98">
        <v>34</v>
      </c>
    </row>
    <row r="278" spans="1:33" x14ac:dyDescent="0.3">
      <c r="A278" s="7">
        <v>273</v>
      </c>
      <c r="B278" s="7" t="s">
        <v>656</v>
      </c>
      <c r="C278" s="7" t="s">
        <v>447</v>
      </c>
      <c r="D278" s="8">
        <f>'CDC Source Data'!D18</f>
        <v>100866</v>
      </c>
      <c r="E278" s="8">
        <f>'CDC Source Data'!E18</f>
        <v>19</v>
      </c>
      <c r="F278" s="31">
        <f t="shared" si="4"/>
        <v>18.84836490434455</v>
      </c>
      <c r="G278" s="9">
        <f>'CDC Source Data'!F18</f>
        <v>0</v>
      </c>
      <c r="H278" s="7" t="str">
        <f>'CDC Source Data'!G18</f>
        <v>Completeness of provisional 2019 data under 90% after 6 months.</v>
      </c>
      <c r="I278" s="97">
        <v>19.3</v>
      </c>
      <c r="J278" s="97">
        <v>20.100000000000001</v>
      </c>
      <c r="K278" s="98">
        <v>19</v>
      </c>
      <c r="L278" s="98">
        <v>28</v>
      </c>
      <c r="M278" s="98">
        <v>30</v>
      </c>
      <c r="N278" s="98">
        <v>34</v>
      </c>
      <c r="O278" s="98">
        <v>31</v>
      </c>
      <c r="P278" s="98">
        <v>27</v>
      </c>
      <c r="Q278" s="98">
        <v>33</v>
      </c>
      <c r="R278" s="98">
        <v>33</v>
      </c>
      <c r="S278" s="98">
        <v>36</v>
      </c>
      <c r="T278" s="98">
        <v>38</v>
      </c>
      <c r="U278" s="98">
        <v>36</v>
      </c>
      <c r="V278" s="98">
        <v>49</v>
      </c>
      <c r="W278" s="98">
        <v>54</v>
      </c>
      <c r="X278" s="98">
        <v>49</v>
      </c>
      <c r="Y278" s="98">
        <v>44</v>
      </c>
      <c r="Z278" s="98">
        <v>32</v>
      </c>
      <c r="AA278" s="98">
        <v>30</v>
      </c>
      <c r="AB278" s="98">
        <v>31</v>
      </c>
      <c r="AC278" s="98">
        <v>34</v>
      </c>
      <c r="AD278" s="98">
        <v>32</v>
      </c>
      <c r="AE278" s="98">
        <v>27</v>
      </c>
      <c r="AF278" s="98">
        <v>24</v>
      </c>
      <c r="AG278" s="98">
        <v>19</v>
      </c>
    </row>
    <row r="279" spans="1:33" x14ac:dyDescent="0.3">
      <c r="A279" s="7">
        <v>274</v>
      </c>
      <c r="B279" s="7" t="s">
        <v>657</v>
      </c>
      <c r="C279" s="7" t="s">
        <v>469</v>
      </c>
      <c r="D279" s="8">
        <f>'CDC Source Data'!D193</f>
        <v>101390</v>
      </c>
      <c r="E279" s="8">
        <f>'CDC Source Data'!E193</f>
        <v>19</v>
      </c>
      <c r="F279" s="31">
        <f t="shared" si="4"/>
        <v>18.836872682568956</v>
      </c>
      <c r="G279" s="9">
        <f>'CDC Source Data'!F193</f>
        <v>0.16</v>
      </c>
      <c r="H279" s="7" t="str">
        <f>'CDC Source Data'!G193</f>
        <v>Completeness of provisional 2019 data under 90% after 6 months.</v>
      </c>
      <c r="I279" s="97">
        <v>21.2</v>
      </c>
      <c r="J279" s="97">
        <v>22.1</v>
      </c>
      <c r="K279" s="98">
        <v>19</v>
      </c>
      <c r="L279" s="98">
        <v>21</v>
      </c>
      <c r="M279" s="98">
        <v>19</v>
      </c>
      <c r="N279" s="98">
        <v>21</v>
      </c>
      <c r="O279" s="98">
        <v>26</v>
      </c>
      <c r="P279" s="98">
        <v>27</v>
      </c>
      <c r="Q279" s="98">
        <v>27</v>
      </c>
      <c r="R279" s="98">
        <v>36</v>
      </c>
      <c r="S279" s="98">
        <v>32</v>
      </c>
      <c r="T279" s="98">
        <v>35</v>
      </c>
      <c r="U279" s="98">
        <v>38</v>
      </c>
      <c r="V279" s="98">
        <v>29</v>
      </c>
      <c r="W279" s="98">
        <v>33</v>
      </c>
      <c r="X279" s="98">
        <v>30</v>
      </c>
      <c r="Y279" s="98">
        <v>25</v>
      </c>
      <c r="Z279" s="98">
        <v>20</v>
      </c>
      <c r="AA279" s="98">
        <v>16</v>
      </c>
      <c r="AB279" s="98">
        <v>14</v>
      </c>
      <c r="AC279" s="98">
        <v>14</v>
      </c>
      <c r="AD279" s="98">
        <v>19</v>
      </c>
      <c r="AE279" s="98">
        <v>18</v>
      </c>
      <c r="AF279" s="98">
        <v>16</v>
      </c>
      <c r="AG279" s="98">
        <v>19</v>
      </c>
    </row>
    <row r="280" spans="1:33" x14ac:dyDescent="0.3">
      <c r="A280" s="7">
        <v>275</v>
      </c>
      <c r="B280" s="7" t="s">
        <v>658</v>
      </c>
      <c r="C280" s="7" t="s">
        <v>659</v>
      </c>
      <c r="D280" s="8">
        <f>'CDC Source Data'!D106</f>
        <v>170851</v>
      </c>
      <c r="E280" s="8">
        <f>'CDC Source Data'!E106</f>
        <v>32</v>
      </c>
      <c r="F280" s="31">
        <f t="shared" si="4"/>
        <v>18.739520662787257</v>
      </c>
      <c r="G280" s="9">
        <f>'CDC Source Data'!F106</f>
        <v>0</v>
      </c>
      <c r="H280" s="7">
        <f>'CDC Source Data'!G106</f>
        <v>0</v>
      </c>
      <c r="I280" s="97">
        <v>17</v>
      </c>
      <c r="J280" s="97">
        <v>17.7</v>
      </c>
      <c r="K280" s="98">
        <v>26</v>
      </c>
      <c r="L280" s="98">
        <v>27</v>
      </c>
      <c r="M280" s="98">
        <v>26</v>
      </c>
      <c r="N280" s="98">
        <v>36</v>
      </c>
      <c r="O280" s="98">
        <v>38</v>
      </c>
      <c r="P280" s="98">
        <v>45</v>
      </c>
      <c r="Q280" s="98">
        <v>55</v>
      </c>
      <c r="R280" s="98">
        <v>53</v>
      </c>
      <c r="S280" s="98">
        <v>51</v>
      </c>
      <c r="T280" s="98">
        <v>57</v>
      </c>
      <c r="U280" s="98">
        <v>57</v>
      </c>
      <c r="V280" s="98">
        <v>57</v>
      </c>
      <c r="W280" s="98">
        <v>64</v>
      </c>
      <c r="X280" s="98">
        <v>63</v>
      </c>
      <c r="Y280" s="98">
        <v>60</v>
      </c>
      <c r="Z280" s="98">
        <v>58</v>
      </c>
      <c r="AA280" s="98">
        <v>57</v>
      </c>
      <c r="AB280" s="98">
        <v>57</v>
      </c>
      <c r="AC280" s="98">
        <v>57</v>
      </c>
      <c r="AD280" s="98">
        <v>57</v>
      </c>
      <c r="AE280" s="98">
        <v>46</v>
      </c>
      <c r="AF280" s="98">
        <v>39</v>
      </c>
      <c r="AG280" s="98">
        <v>32</v>
      </c>
    </row>
    <row r="281" spans="1:33" x14ac:dyDescent="0.3">
      <c r="A281" s="7">
        <v>276</v>
      </c>
      <c r="B281" s="7" t="s">
        <v>468</v>
      </c>
      <c r="C281" s="7" t="s">
        <v>32</v>
      </c>
      <c r="D281" s="8">
        <f>'CDC Source Data'!D467</f>
        <v>498212</v>
      </c>
      <c r="E281" s="8">
        <f>'CDC Source Data'!E467</f>
        <v>93</v>
      </c>
      <c r="F281" s="31">
        <f t="shared" si="4"/>
        <v>18.729770384721192</v>
      </c>
      <c r="G281" s="9">
        <f>'CDC Source Data'!F467</f>
        <v>0.26</v>
      </c>
      <c r="H281" s="7">
        <f>'CDC Source Data'!G467</f>
        <v>0</v>
      </c>
      <c r="I281" s="97">
        <v>23.6</v>
      </c>
      <c r="J281" s="97">
        <v>24.6</v>
      </c>
      <c r="K281" s="98">
        <v>120</v>
      </c>
      <c r="L281" s="98">
        <v>128</v>
      </c>
      <c r="M281" s="98">
        <v>143</v>
      </c>
      <c r="N281" s="98">
        <v>140</v>
      </c>
      <c r="O281" s="98">
        <v>157</v>
      </c>
      <c r="P281" s="98">
        <v>157</v>
      </c>
      <c r="Q281" s="98">
        <v>162</v>
      </c>
      <c r="R281" s="98">
        <v>169</v>
      </c>
      <c r="S281" s="98">
        <v>155</v>
      </c>
      <c r="T281" s="98">
        <v>168</v>
      </c>
      <c r="U281" s="98">
        <v>164</v>
      </c>
      <c r="V281" s="98">
        <v>168</v>
      </c>
      <c r="W281" s="98">
        <v>168</v>
      </c>
      <c r="X281" s="98">
        <v>161</v>
      </c>
      <c r="Y281" s="98">
        <v>170</v>
      </c>
      <c r="Z281" s="98">
        <v>169</v>
      </c>
      <c r="AA281" s="98">
        <v>159</v>
      </c>
      <c r="AB281" s="98">
        <v>147</v>
      </c>
      <c r="AC281" s="98">
        <v>123</v>
      </c>
      <c r="AD281" s="98">
        <v>96</v>
      </c>
      <c r="AE281" s="98">
        <v>90</v>
      </c>
      <c r="AF281" s="98">
        <v>89</v>
      </c>
      <c r="AG281" s="98">
        <v>93</v>
      </c>
    </row>
    <row r="282" spans="1:33" x14ac:dyDescent="0.3">
      <c r="A282" s="7">
        <v>277</v>
      </c>
      <c r="B282" s="7" t="s">
        <v>660</v>
      </c>
      <c r="C282" s="7" t="s">
        <v>627</v>
      </c>
      <c r="D282" s="8">
        <f>'CDC Source Data'!D614</f>
        <v>107257</v>
      </c>
      <c r="E282" s="8">
        <f>'CDC Source Data'!E614</f>
        <v>20</v>
      </c>
      <c r="F282" s="31">
        <f t="shared" si="4"/>
        <v>18.66675230624714</v>
      </c>
      <c r="G282" s="9">
        <f>'CDC Source Data'!F614</f>
        <v>0</v>
      </c>
      <c r="H282" s="7" t="str">
        <f>'CDC Source Data'!G614</f>
        <v>Completeness of provisional 2019 data under 90% after 6 months.</v>
      </c>
      <c r="I282" s="97">
        <v>10.7</v>
      </c>
      <c r="J282" s="97">
        <v>11.1</v>
      </c>
      <c r="K282" s="100"/>
      <c r="L282" s="98">
        <v>10</v>
      </c>
      <c r="M282" s="98">
        <v>10</v>
      </c>
      <c r="N282" s="98">
        <v>14</v>
      </c>
      <c r="O282" s="98">
        <v>17</v>
      </c>
      <c r="P282" s="98">
        <v>15</v>
      </c>
      <c r="Q282" s="98">
        <v>14</v>
      </c>
      <c r="R282" s="98">
        <v>15</v>
      </c>
      <c r="S282" s="98">
        <v>14</v>
      </c>
      <c r="T282" s="98">
        <v>13</v>
      </c>
      <c r="U282" s="98">
        <v>12</v>
      </c>
      <c r="V282" s="98">
        <v>11</v>
      </c>
      <c r="W282" s="98">
        <v>15</v>
      </c>
      <c r="X282" s="98">
        <v>18</v>
      </c>
      <c r="Y282" s="98">
        <v>19</v>
      </c>
      <c r="Z282" s="98">
        <v>17</v>
      </c>
      <c r="AA282" s="98">
        <v>17</v>
      </c>
      <c r="AB282" s="98">
        <v>14</v>
      </c>
      <c r="AC282" s="98">
        <v>14</v>
      </c>
      <c r="AD282" s="98">
        <v>15</v>
      </c>
      <c r="AE282" s="98">
        <v>15</v>
      </c>
      <c r="AF282" s="98">
        <v>18</v>
      </c>
      <c r="AG282" s="98">
        <v>20</v>
      </c>
    </row>
    <row r="283" spans="1:33" x14ac:dyDescent="0.3">
      <c r="A283" s="7">
        <v>278</v>
      </c>
      <c r="B283" s="7" t="s">
        <v>661</v>
      </c>
      <c r="C283" s="7" t="s">
        <v>15</v>
      </c>
      <c r="D283" s="8">
        <f>'CDC Source Data'!D358</f>
        <v>296774</v>
      </c>
      <c r="E283" s="8">
        <f>'CDC Source Data'!E358</f>
        <v>55</v>
      </c>
      <c r="F283" s="31">
        <f t="shared" si="4"/>
        <v>18.646801607354298</v>
      </c>
      <c r="G283" s="9">
        <f>'CDC Source Data'!F358</f>
        <v>0.72</v>
      </c>
      <c r="H283" s="7" t="str">
        <f>'CDC Source Data'!G358</f>
        <v>Completeness of provisional 2019 data under 90% after 6 months.</v>
      </c>
      <c r="I283" s="97">
        <v>15.4</v>
      </c>
      <c r="J283" s="97">
        <v>16.100000000000001</v>
      </c>
      <c r="K283" s="98">
        <v>46</v>
      </c>
      <c r="L283" s="98">
        <v>50</v>
      </c>
      <c r="M283" s="98">
        <v>54</v>
      </c>
      <c r="N283" s="98">
        <v>53</v>
      </c>
      <c r="O283" s="98">
        <v>63</v>
      </c>
      <c r="P283" s="98">
        <v>56</v>
      </c>
      <c r="Q283" s="98">
        <v>53</v>
      </c>
      <c r="R283" s="98">
        <v>55</v>
      </c>
      <c r="S283" s="98">
        <v>48</v>
      </c>
      <c r="T283" s="98">
        <v>53</v>
      </c>
      <c r="U283" s="98">
        <v>67</v>
      </c>
      <c r="V283" s="98">
        <v>71</v>
      </c>
      <c r="W283" s="98">
        <v>76</v>
      </c>
      <c r="X283" s="98">
        <v>77</v>
      </c>
      <c r="Y283" s="98">
        <v>68</v>
      </c>
      <c r="Z283" s="98">
        <v>64</v>
      </c>
      <c r="AA283" s="98">
        <v>60</v>
      </c>
      <c r="AB283" s="98">
        <v>55</v>
      </c>
      <c r="AC283" s="98">
        <v>60</v>
      </c>
      <c r="AD283" s="98">
        <v>60</v>
      </c>
      <c r="AE283" s="98">
        <v>62</v>
      </c>
      <c r="AF283" s="98">
        <v>58</v>
      </c>
      <c r="AG283" s="98">
        <v>55</v>
      </c>
    </row>
    <row r="284" spans="1:33" x14ac:dyDescent="0.3">
      <c r="A284" s="7">
        <v>279</v>
      </c>
      <c r="B284" s="7" t="s">
        <v>662</v>
      </c>
      <c r="C284" s="7" t="s">
        <v>262</v>
      </c>
      <c r="D284" s="8">
        <f>'CDC Source Data'!D297</f>
        <v>108390</v>
      </c>
      <c r="E284" s="8">
        <f>'CDC Source Data'!E297</f>
        <v>20</v>
      </c>
      <c r="F284" s="31">
        <f t="shared" si="4"/>
        <v>18.53262078214399</v>
      </c>
      <c r="G284" s="9">
        <f>'CDC Source Data'!F297</f>
        <v>0.23</v>
      </c>
      <c r="H284" s="7">
        <f>'CDC Source Data'!G297</f>
        <v>0</v>
      </c>
      <c r="I284" s="97">
        <v>28.7</v>
      </c>
      <c r="J284" s="97">
        <v>30</v>
      </c>
      <c r="K284" s="98">
        <v>34</v>
      </c>
      <c r="L284" s="98">
        <v>35</v>
      </c>
      <c r="M284" s="98">
        <v>31</v>
      </c>
      <c r="N284" s="98">
        <v>27</v>
      </c>
      <c r="O284" s="98">
        <v>30</v>
      </c>
      <c r="P284" s="98">
        <v>31</v>
      </c>
      <c r="Q284" s="98">
        <v>37</v>
      </c>
      <c r="R284" s="98">
        <v>39</v>
      </c>
      <c r="S284" s="98">
        <v>42</v>
      </c>
      <c r="T284" s="98">
        <v>41</v>
      </c>
      <c r="U284" s="98">
        <v>43</v>
      </c>
      <c r="V284" s="98">
        <v>42</v>
      </c>
      <c r="W284" s="98">
        <v>31</v>
      </c>
      <c r="X284" s="98">
        <v>23</v>
      </c>
      <c r="Y284" s="98">
        <v>21</v>
      </c>
      <c r="Z284" s="98">
        <v>22</v>
      </c>
      <c r="AA284" s="98">
        <v>24</v>
      </c>
      <c r="AB284" s="98">
        <v>27</v>
      </c>
      <c r="AC284" s="98">
        <v>19</v>
      </c>
      <c r="AD284" s="98">
        <v>13</v>
      </c>
      <c r="AE284" s="98">
        <v>16</v>
      </c>
      <c r="AF284" s="98">
        <v>15</v>
      </c>
      <c r="AG284" s="98">
        <v>20</v>
      </c>
    </row>
    <row r="285" spans="1:33" x14ac:dyDescent="0.3">
      <c r="A285" s="7">
        <v>280</v>
      </c>
      <c r="B285" s="7" t="s">
        <v>640</v>
      </c>
      <c r="C285" s="7" t="s">
        <v>475</v>
      </c>
      <c r="D285" s="8">
        <f>'CDC Source Data'!D531</f>
        <v>200794</v>
      </c>
      <c r="E285" s="8">
        <f>'CDC Source Data'!E531</f>
        <v>37</v>
      </c>
      <c r="F285" s="31">
        <f t="shared" si="4"/>
        <v>18.451886705415628</v>
      </c>
      <c r="G285" s="9">
        <f>'CDC Source Data'!F531</f>
        <v>0</v>
      </c>
      <c r="H285" s="7">
        <f>'CDC Source Data'!G531</f>
        <v>0</v>
      </c>
      <c r="I285" s="97">
        <v>18.5</v>
      </c>
      <c r="J285" s="97">
        <v>19.3</v>
      </c>
      <c r="K285" s="98">
        <v>39</v>
      </c>
      <c r="L285" s="98">
        <v>47</v>
      </c>
      <c r="M285" s="98">
        <v>47</v>
      </c>
      <c r="N285" s="98">
        <v>52</v>
      </c>
      <c r="O285" s="98">
        <v>60</v>
      </c>
      <c r="P285" s="98">
        <v>65</v>
      </c>
      <c r="Q285" s="98">
        <v>62</v>
      </c>
      <c r="R285" s="98">
        <v>73</v>
      </c>
      <c r="S285" s="98">
        <v>69</v>
      </c>
      <c r="T285" s="98">
        <v>71</v>
      </c>
      <c r="U285" s="98">
        <v>80</v>
      </c>
      <c r="V285" s="98">
        <v>69</v>
      </c>
      <c r="W285" s="98">
        <v>80</v>
      </c>
      <c r="X285" s="98">
        <v>75</v>
      </c>
      <c r="Y285" s="98">
        <v>75</v>
      </c>
      <c r="Z285" s="98">
        <v>75</v>
      </c>
      <c r="AA285" s="98">
        <v>58</v>
      </c>
      <c r="AB285" s="98">
        <v>54</v>
      </c>
      <c r="AC285" s="98">
        <v>48</v>
      </c>
      <c r="AD285" s="98">
        <v>43</v>
      </c>
      <c r="AE285" s="98">
        <v>44</v>
      </c>
      <c r="AF285" s="98">
        <v>42</v>
      </c>
      <c r="AG285" s="98">
        <v>37</v>
      </c>
    </row>
    <row r="286" spans="1:33" x14ac:dyDescent="0.3">
      <c r="A286" s="7">
        <v>281</v>
      </c>
      <c r="B286" s="7" t="s">
        <v>663</v>
      </c>
      <c r="C286" s="7" t="s">
        <v>230</v>
      </c>
      <c r="D286" s="8">
        <f>'CDC Source Data'!D114</f>
        <v>263370</v>
      </c>
      <c r="E286" s="8">
        <f>'CDC Source Data'!E114</f>
        <v>48</v>
      </c>
      <c r="F286" s="31">
        <f t="shared" si="4"/>
        <v>18.426845423668038</v>
      </c>
      <c r="G286" s="9">
        <f>'CDC Source Data'!F114</f>
        <v>0</v>
      </c>
      <c r="H286" s="7">
        <f>'CDC Source Data'!G114</f>
        <v>0</v>
      </c>
      <c r="I286" s="97">
        <v>16.2</v>
      </c>
      <c r="J286" s="97">
        <v>16.899999999999999</v>
      </c>
      <c r="K286" s="98">
        <v>51</v>
      </c>
      <c r="L286" s="98">
        <v>50</v>
      </c>
      <c r="M286" s="98">
        <v>48</v>
      </c>
      <c r="N286" s="98">
        <v>49</v>
      </c>
      <c r="O286" s="98">
        <v>42</v>
      </c>
      <c r="P286" s="98">
        <v>44</v>
      </c>
      <c r="Q286" s="98">
        <v>52</v>
      </c>
      <c r="R286" s="98">
        <v>50</v>
      </c>
      <c r="S286" s="98">
        <v>48</v>
      </c>
      <c r="T286" s="98">
        <v>49</v>
      </c>
      <c r="U286" s="98">
        <v>50</v>
      </c>
      <c r="V286" s="98">
        <v>62</v>
      </c>
      <c r="W286" s="98">
        <v>65</v>
      </c>
      <c r="X286" s="98">
        <v>71</v>
      </c>
      <c r="Y286" s="98">
        <v>70</v>
      </c>
      <c r="Z286" s="98">
        <v>58</v>
      </c>
      <c r="AA286" s="98">
        <v>60</v>
      </c>
      <c r="AB286" s="98">
        <v>58</v>
      </c>
      <c r="AC286" s="98">
        <v>53</v>
      </c>
      <c r="AD286" s="98">
        <v>55</v>
      </c>
      <c r="AE286" s="98">
        <v>55</v>
      </c>
      <c r="AF286" s="98">
        <v>49</v>
      </c>
      <c r="AG286" s="98">
        <v>48</v>
      </c>
    </row>
    <row r="287" spans="1:33" x14ac:dyDescent="0.3">
      <c r="A287" s="7">
        <v>282</v>
      </c>
      <c r="B287" s="7" t="s">
        <v>664</v>
      </c>
      <c r="C287" s="7" t="s">
        <v>50</v>
      </c>
      <c r="D287" s="8">
        <f>'CDC Source Data'!D107</f>
        <v>170174</v>
      </c>
      <c r="E287" s="8">
        <f>'CDC Source Data'!E107</f>
        <v>31</v>
      </c>
      <c r="F287" s="31">
        <f t="shared" si="4"/>
        <v>18.225310399817747</v>
      </c>
      <c r="G287" s="9">
        <f>'CDC Source Data'!F107</f>
        <v>0</v>
      </c>
      <c r="H287" s="7">
        <f>'CDC Source Data'!G107</f>
        <v>0</v>
      </c>
      <c r="I287" s="97">
        <v>33.4</v>
      </c>
      <c r="J287" s="97">
        <v>34.9</v>
      </c>
      <c r="K287" s="98">
        <v>57</v>
      </c>
      <c r="L287" s="98">
        <v>67</v>
      </c>
      <c r="M287" s="98">
        <v>67</v>
      </c>
      <c r="N287" s="98">
        <v>67</v>
      </c>
      <c r="O287" s="98">
        <v>67</v>
      </c>
      <c r="P287" s="98">
        <v>80</v>
      </c>
      <c r="Q287" s="98">
        <v>89</v>
      </c>
      <c r="R287" s="98">
        <v>94</v>
      </c>
      <c r="S287" s="98">
        <v>101</v>
      </c>
      <c r="T287" s="98">
        <v>83</v>
      </c>
      <c r="U287" s="98">
        <v>73</v>
      </c>
      <c r="V287" s="98">
        <v>76</v>
      </c>
      <c r="W287" s="98">
        <v>69</v>
      </c>
      <c r="X287" s="98">
        <v>73</v>
      </c>
      <c r="Y287" s="98">
        <v>87</v>
      </c>
      <c r="Z287" s="98">
        <v>82</v>
      </c>
      <c r="AA287" s="98">
        <v>85</v>
      </c>
      <c r="AB287" s="98">
        <v>83</v>
      </c>
      <c r="AC287" s="98">
        <v>66</v>
      </c>
      <c r="AD287" s="98">
        <v>61</v>
      </c>
      <c r="AE287" s="98">
        <v>48</v>
      </c>
      <c r="AF287" s="98">
        <v>33</v>
      </c>
      <c r="AG287" s="98">
        <v>31</v>
      </c>
    </row>
    <row r="288" spans="1:33" x14ac:dyDescent="0.3">
      <c r="A288" s="7">
        <v>283</v>
      </c>
      <c r="B288" s="7" t="s">
        <v>665</v>
      </c>
      <c r="C288" s="7" t="s">
        <v>38</v>
      </c>
      <c r="D288" s="8">
        <f>'CDC Source Data'!D295</f>
        <v>121060</v>
      </c>
      <c r="E288" s="8">
        <f>'CDC Source Data'!E295</f>
        <v>22</v>
      </c>
      <c r="F288" s="31">
        <f t="shared" si="4"/>
        <v>18.216648841773715</v>
      </c>
      <c r="G288" s="9">
        <f>'CDC Source Data'!F295</f>
        <v>0.09</v>
      </c>
      <c r="H288" s="7">
        <f>'CDC Source Data'!G295</f>
        <v>0</v>
      </c>
      <c r="I288" s="97">
        <v>16.600000000000001</v>
      </c>
      <c r="J288" s="97">
        <v>17.3</v>
      </c>
      <c r="K288" s="98">
        <v>28</v>
      </c>
      <c r="L288" s="98">
        <v>34</v>
      </c>
      <c r="M288" s="98">
        <v>36</v>
      </c>
      <c r="N288" s="98">
        <v>40</v>
      </c>
      <c r="O288" s="98">
        <v>39</v>
      </c>
      <c r="P288" s="98">
        <v>40</v>
      </c>
      <c r="Q288" s="98">
        <v>34</v>
      </c>
      <c r="R288" s="98">
        <v>29</v>
      </c>
      <c r="S288" s="98">
        <v>31</v>
      </c>
      <c r="T288" s="98">
        <v>31</v>
      </c>
      <c r="U288" s="98">
        <v>35</v>
      </c>
      <c r="V288" s="98">
        <v>33</v>
      </c>
      <c r="W288" s="98">
        <v>34</v>
      </c>
      <c r="X288" s="98">
        <v>38</v>
      </c>
      <c r="Y288" s="98">
        <v>36</v>
      </c>
      <c r="Z288" s="98">
        <v>44</v>
      </c>
      <c r="AA288" s="98">
        <v>43</v>
      </c>
      <c r="AB288" s="98">
        <v>35</v>
      </c>
      <c r="AC288" s="98">
        <v>36</v>
      </c>
      <c r="AD288" s="98">
        <v>25</v>
      </c>
      <c r="AE288" s="98">
        <v>22</v>
      </c>
      <c r="AF288" s="98">
        <v>21</v>
      </c>
      <c r="AG288" s="98">
        <v>22</v>
      </c>
    </row>
    <row r="289" spans="1:33" x14ac:dyDescent="0.3">
      <c r="A289" s="7">
        <v>284</v>
      </c>
      <c r="B289" s="7" t="s">
        <v>666</v>
      </c>
      <c r="C289" s="7" t="s">
        <v>467</v>
      </c>
      <c r="D289" s="8">
        <f>'CDC Source Data'!D356</f>
        <v>1206285</v>
      </c>
      <c r="E289" s="8">
        <f>'CDC Source Data'!E356</f>
        <v>219</v>
      </c>
      <c r="F289" s="31">
        <f t="shared" si="4"/>
        <v>18.172806872625145</v>
      </c>
      <c r="G289" s="9">
        <f>'CDC Source Data'!F356</f>
        <v>0.42</v>
      </c>
      <c r="H289" s="7" t="str">
        <f>'CDC Source Data'!G356</f>
        <v>Completeness of provisional 2019 data under 90% after 6 months.</v>
      </c>
      <c r="I289" s="97">
        <v>14.7</v>
      </c>
      <c r="J289" s="97">
        <v>15.3</v>
      </c>
      <c r="K289" s="98">
        <v>182</v>
      </c>
      <c r="L289" s="98">
        <v>200</v>
      </c>
      <c r="M289" s="98">
        <v>213</v>
      </c>
      <c r="N289" s="98">
        <v>236</v>
      </c>
      <c r="O289" s="98">
        <v>245</v>
      </c>
      <c r="P289" s="98">
        <v>239</v>
      </c>
      <c r="Q289" s="98">
        <v>249</v>
      </c>
      <c r="R289" s="98">
        <v>236</v>
      </c>
      <c r="S289" s="98">
        <v>246</v>
      </c>
      <c r="T289" s="98">
        <v>269</v>
      </c>
      <c r="U289" s="98">
        <v>285</v>
      </c>
      <c r="V289" s="98">
        <v>322</v>
      </c>
      <c r="W289" s="98">
        <v>348</v>
      </c>
      <c r="X289" s="98">
        <v>377</v>
      </c>
      <c r="Y289" s="98">
        <v>381</v>
      </c>
      <c r="Z289" s="98">
        <v>351</v>
      </c>
      <c r="AA289" s="98">
        <v>345</v>
      </c>
      <c r="AB289" s="98">
        <v>306</v>
      </c>
      <c r="AC289" s="98">
        <v>289</v>
      </c>
      <c r="AD289" s="98">
        <v>271</v>
      </c>
      <c r="AE289" s="98">
        <v>249</v>
      </c>
      <c r="AF289" s="98">
        <v>239</v>
      </c>
      <c r="AG289" s="98">
        <v>219</v>
      </c>
    </row>
    <row r="290" spans="1:33" x14ac:dyDescent="0.3">
      <c r="A290" s="7">
        <v>285</v>
      </c>
      <c r="B290" s="7" t="s">
        <v>667</v>
      </c>
      <c r="C290" s="7" t="s">
        <v>38</v>
      </c>
      <c r="D290" s="8">
        <f>'CDC Source Data'!D471</f>
        <v>165461</v>
      </c>
      <c r="E290" s="8">
        <f>'CDC Source Data'!E471</f>
        <v>30</v>
      </c>
      <c r="F290" s="31">
        <f t="shared" si="4"/>
        <v>18.154913639811486</v>
      </c>
      <c r="G290" s="9">
        <f>'CDC Source Data'!F471</f>
        <v>0.94</v>
      </c>
      <c r="H290" s="7" t="str">
        <f>'CDC Source Data'!G471</f>
        <v>Completeness of provisional 2019 data under 90% after 6 months.</v>
      </c>
      <c r="I290" s="97">
        <v>25.7</v>
      </c>
      <c r="J290" s="97">
        <v>26.8</v>
      </c>
      <c r="K290" s="98">
        <v>45</v>
      </c>
      <c r="L290" s="98">
        <v>42</v>
      </c>
      <c r="M290" s="98">
        <v>50</v>
      </c>
      <c r="N290" s="98">
        <v>52</v>
      </c>
      <c r="O290" s="98">
        <v>62</v>
      </c>
      <c r="P290" s="98">
        <v>73</v>
      </c>
      <c r="Q290" s="98">
        <v>71</v>
      </c>
      <c r="R290" s="98">
        <v>83</v>
      </c>
      <c r="S290" s="98">
        <v>85</v>
      </c>
      <c r="T290" s="98">
        <v>82</v>
      </c>
      <c r="U290" s="98">
        <v>88</v>
      </c>
      <c r="V290" s="98">
        <v>76</v>
      </c>
      <c r="W290" s="98">
        <v>68</v>
      </c>
      <c r="X290" s="98">
        <v>67</v>
      </c>
      <c r="Y290" s="98">
        <v>61</v>
      </c>
      <c r="Z290" s="98">
        <v>61</v>
      </c>
      <c r="AA290" s="98">
        <v>63</v>
      </c>
      <c r="AB290" s="98">
        <v>51</v>
      </c>
      <c r="AC290" s="98">
        <v>54</v>
      </c>
      <c r="AD290" s="98">
        <v>48</v>
      </c>
      <c r="AE290" s="98">
        <v>41</v>
      </c>
      <c r="AF290" s="98">
        <v>39</v>
      </c>
      <c r="AG290" s="98">
        <v>30</v>
      </c>
    </row>
    <row r="291" spans="1:33" x14ac:dyDescent="0.3">
      <c r="A291" s="7">
        <v>286</v>
      </c>
      <c r="B291" s="7" t="s">
        <v>668</v>
      </c>
      <c r="C291" s="7" t="s">
        <v>17</v>
      </c>
      <c r="D291" s="8">
        <f>'CDC Source Data'!D599</f>
        <v>369745</v>
      </c>
      <c r="E291" s="8">
        <f>'CDC Source Data'!E599</f>
        <v>67</v>
      </c>
      <c r="F291" s="31">
        <f t="shared" si="4"/>
        <v>18.131160817352729</v>
      </c>
      <c r="G291" s="9">
        <f>'CDC Source Data'!F599</f>
        <v>0.04</v>
      </c>
      <c r="H291" s="7" t="str">
        <f>'CDC Source Data'!G599</f>
        <v>Completeness of provisional 2019 data under 90% after 6 months.</v>
      </c>
      <c r="I291" s="100"/>
      <c r="J291" s="100"/>
      <c r="K291" s="98">
        <v>42</v>
      </c>
      <c r="L291" s="98">
        <v>39</v>
      </c>
      <c r="M291" s="98">
        <v>53</v>
      </c>
      <c r="N291" s="98">
        <v>51</v>
      </c>
      <c r="O291" s="98">
        <v>63</v>
      </c>
      <c r="P291" s="98">
        <v>79</v>
      </c>
      <c r="Q291" s="98">
        <v>83</v>
      </c>
      <c r="R291" s="98">
        <v>98</v>
      </c>
      <c r="S291" s="98">
        <v>102</v>
      </c>
      <c r="T291" s="98">
        <v>97</v>
      </c>
      <c r="U291" s="98">
        <v>90</v>
      </c>
      <c r="V291" s="98">
        <v>75</v>
      </c>
      <c r="W291" s="98">
        <v>70</v>
      </c>
      <c r="X291" s="98">
        <v>59</v>
      </c>
      <c r="Y291" s="98">
        <v>57</v>
      </c>
      <c r="Z291" s="98">
        <v>60</v>
      </c>
      <c r="AA291" s="98">
        <v>62</v>
      </c>
      <c r="AB291" s="98">
        <v>65</v>
      </c>
      <c r="AC291" s="98">
        <v>65</v>
      </c>
      <c r="AD291" s="98">
        <v>56</v>
      </c>
      <c r="AE291" s="98">
        <v>56</v>
      </c>
      <c r="AF291" s="98">
        <v>59</v>
      </c>
      <c r="AG291" s="98">
        <v>67</v>
      </c>
    </row>
    <row r="292" spans="1:33" x14ac:dyDescent="0.3">
      <c r="A292" s="7">
        <v>287</v>
      </c>
      <c r="B292" s="7" t="s">
        <v>470</v>
      </c>
      <c r="C292" s="7" t="s">
        <v>447</v>
      </c>
      <c r="D292" s="8">
        <f>'CDC Source Data'!D221</f>
        <v>837359</v>
      </c>
      <c r="E292" s="8">
        <f>'CDC Source Data'!E221</f>
        <v>151</v>
      </c>
      <c r="F292" s="31">
        <f t="shared" si="4"/>
        <v>18.120596627405373</v>
      </c>
      <c r="G292" s="9">
        <f>'CDC Source Data'!F221</f>
        <v>0.05</v>
      </c>
      <c r="H292" s="7">
        <f>'CDC Source Data'!G221</f>
        <v>0</v>
      </c>
      <c r="I292" s="97">
        <v>36.9</v>
      </c>
      <c r="J292" s="97">
        <v>38.5</v>
      </c>
      <c r="K292" s="98">
        <v>377</v>
      </c>
      <c r="L292" s="98">
        <v>391</v>
      </c>
      <c r="M292" s="98">
        <v>387</v>
      </c>
      <c r="N292" s="98">
        <v>375</v>
      </c>
      <c r="O292" s="98">
        <v>376</v>
      </c>
      <c r="P292" s="98">
        <v>369</v>
      </c>
      <c r="Q292" s="98">
        <v>393</v>
      </c>
      <c r="R292" s="98">
        <v>399</v>
      </c>
      <c r="S292" s="98">
        <v>397</v>
      </c>
      <c r="T292" s="98">
        <v>381</v>
      </c>
      <c r="U292" s="98">
        <v>352</v>
      </c>
      <c r="V292" s="98">
        <v>349</v>
      </c>
      <c r="W292" s="98">
        <v>340</v>
      </c>
      <c r="X292" s="98">
        <v>343</v>
      </c>
      <c r="Y292" s="98">
        <v>349</v>
      </c>
      <c r="Z292" s="98">
        <v>328</v>
      </c>
      <c r="AA292" s="98">
        <v>294</v>
      </c>
      <c r="AB292" s="98">
        <v>267</v>
      </c>
      <c r="AC292" s="98">
        <v>229</v>
      </c>
      <c r="AD292" s="98">
        <v>202</v>
      </c>
      <c r="AE292" s="98">
        <v>200</v>
      </c>
      <c r="AF292" s="98">
        <v>180</v>
      </c>
      <c r="AG292" s="98">
        <v>151</v>
      </c>
    </row>
    <row r="293" spans="1:33" x14ac:dyDescent="0.3">
      <c r="A293" s="7">
        <v>288</v>
      </c>
      <c r="B293" s="7" t="s">
        <v>669</v>
      </c>
      <c r="C293" s="7" t="s">
        <v>239</v>
      </c>
      <c r="D293" s="8">
        <f>'CDC Source Data'!D401</f>
        <v>183056</v>
      </c>
      <c r="E293" s="8">
        <f>'CDC Source Data'!E401</f>
        <v>33</v>
      </c>
      <c r="F293" s="31">
        <f t="shared" si="4"/>
        <v>18.032886730780945</v>
      </c>
      <c r="G293" s="9">
        <f>'CDC Source Data'!F401</f>
        <v>0.12</v>
      </c>
      <c r="H293" s="7" t="str">
        <f>'CDC Source Data'!G401</f>
        <v>Completeness of provisional 2019 data under 90% after 6 months.</v>
      </c>
      <c r="I293" s="97">
        <v>18.600000000000001</v>
      </c>
      <c r="J293" s="97">
        <v>19.5</v>
      </c>
      <c r="K293" s="98">
        <v>39</v>
      </c>
      <c r="L293" s="98">
        <v>47</v>
      </c>
      <c r="M293" s="98">
        <v>57</v>
      </c>
      <c r="N293" s="98">
        <v>64</v>
      </c>
      <c r="O293" s="98">
        <v>70</v>
      </c>
      <c r="P293" s="98">
        <v>75</v>
      </c>
      <c r="Q293" s="98">
        <v>75</v>
      </c>
      <c r="R293" s="98">
        <v>69</v>
      </c>
      <c r="S293" s="98">
        <v>69</v>
      </c>
      <c r="T293" s="98">
        <v>63</v>
      </c>
      <c r="U293" s="98">
        <v>67</v>
      </c>
      <c r="V293" s="98">
        <v>69</v>
      </c>
      <c r="W293" s="98">
        <v>68</v>
      </c>
      <c r="X293" s="98">
        <v>72</v>
      </c>
      <c r="Y293" s="98">
        <v>65</v>
      </c>
      <c r="Z293" s="98">
        <v>53</v>
      </c>
      <c r="AA293" s="98">
        <v>50</v>
      </c>
      <c r="AB293" s="98">
        <v>44</v>
      </c>
      <c r="AC293" s="98">
        <v>41</v>
      </c>
      <c r="AD293" s="98">
        <v>44</v>
      </c>
      <c r="AE293" s="98">
        <v>38</v>
      </c>
      <c r="AF293" s="98">
        <v>33</v>
      </c>
      <c r="AG293" s="98">
        <v>33</v>
      </c>
    </row>
    <row r="294" spans="1:33" x14ac:dyDescent="0.3">
      <c r="A294" s="7">
        <v>289</v>
      </c>
      <c r="B294" s="7" t="s">
        <v>670</v>
      </c>
      <c r="C294" s="7" t="s">
        <v>50</v>
      </c>
      <c r="D294" s="8">
        <f>'CDC Source Data'!D256</f>
        <v>172139</v>
      </c>
      <c r="E294" s="8">
        <f>'CDC Source Data'!E256</f>
        <v>31</v>
      </c>
      <c r="F294" s="31">
        <f t="shared" si="4"/>
        <v>18.027270343501442</v>
      </c>
      <c r="G294" s="9">
        <f>'CDC Source Data'!F256</f>
        <v>0.04</v>
      </c>
      <c r="H294" s="7" t="str">
        <f>'CDC Source Data'!G256</f>
        <v>Completeness of provisional 2019 data under 90% after 6 months.</v>
      </c>
      <c r="I294" s="97">
        <v>23.8</v>
      </c>
      <c r="J294" s="97">
        <v>24.9</v>
      </c>
      <c r="K294" s="98">
        <v>33</v>
      </c>
      <c r="L294" s="98">
        <v>35</v>
      </c>
      <c r="M294" s="98">
        <v>37</v>
      </c>
      <c r="N294" s="98">
        <v>39</v>
      </c>
      <c r="O294" s="98">
        <v>44</v>
      </c>
      <c r="P294" s="98">
        <v>45</v>
      </c>
      <c r="Q294" s="98">
        <v>52</v>
      </c>
      <c r="R294" s="98">
        <v>63</v>
      </c>
      <c r="S294" s="98">
        <v>62</v>
      </c>
      <c r="T294" s="98">
        <v>56</v>
      </c>
      <c r="U294" s="98">
        <v>53</v>
      </c>
      <c r="V294" s="98">
        <v>50</v>
      </c>
      <c r="W294" s="98">
        <v>48</v>
      </c>
      <c r="X294" s="98">
        <v>58</v>
      </c>
      <c r="Y294" s="98">
        <v>53</v>
      </c>
      <c r="Z294" s="98">
        <v>49</v>
      </c>
      <c r="AA294" s="98">
        <v>46</v>
      </c>
      <c r="AB294" s="98">
        <v>35</v>
      </c>
      <c r="AC294" s="98">
        <v>34</v>
      </c>
      <c r="AD294" s="98">
        <v>27</v>
      </c>
      <c r="AE294" s="98">
        <v>29</v>
      </c>
      <c r="AF294" s="98">
        <v>31</v>
      </c>
      <c r="AG294" s="98">
        <v>31</v>
      </c>
    </row>
    <row r="295" spans="1:33" x14ac:dyDescent="0.3">
      <c r="A295" s="7">
        <v>290</v>
      </c>
      <c r="B295" s="7" t="s">
        <v>671</v>
      </c>
      <c r="C295" s="7" t="s">
        <v>19</v>
      </c>
      <c r="D295" s="8">
        <f>'CDC Source Data'!D69</f>
        <v>650131</v>
      </c>
      <c r="E295" s="8">
        <f>'CDC Source Data'!E69</f>
        <v>117</v>
      </c>
      <c r="F295" s="31">
        <f t="shared" si="4"/>
        <v>18.008702269677411</v>
      </c>
      <c r="G295" s="9">
        <f>'CDC Source Data'!F69</f>
        <v>0.18</v>
      </c>
      <c r="H295" s="7" t="str">
        <f>'CDC Source Data'!G69</f>
        <v>Completeness of provisional 2019 data under 90% after 6 months.</v>
      </c>
      <c r="I295" s="97">
        <v>29.8</v>
      </c>
      <c r="J295" s="97">
        <v>31.1</v>
      </c>
      <c r="K295" s="98">
        <v>221</v>
      </c>
      <c r="L295" s="98">
        <v>223</v>
      </c>
      <c r="M295" s="98">
        <v>222</v>
      </c>
      <c r="N295" s="98">
        <v>220</v>
      </c>
      <c r="O295" s="98">
        <v>216</v>
      </c>
      <c r="P295" s="98">
        <v>209</v>
      </c>
      <c r="Q295" s="98">
        <v>205</v>
      </c>
      <c r="R295" s="98">
        <v>207</v>
      </c>
      <c r="S295" s="98">
        <v>209</v>
      </c>
      <c r="T295" s="98">
        <v>215</v>
      </c>
      <c r="U295" s="98">
        <v>208</v>
      </c>
      <c r="V295" s="98">
        <v>199</v>
      </c>
      <c r="W295" s="98">
        <v>200</v>
      </c>
      <c r="X295" s="98">
        <v>184</v>
      </c>
      <c r="Y295" s="98">
        <v>186</v>
      </c>
      <c r="Z295" s="98">
        <v>168</v>
      </c>
      <c r="AA295" s="98">
        <v>144</v>
      </c>
      <c r="AB295" s="98">
        <v>140</v>
      </c>
      <c r="AC295" s="98">
        <v>127</v>
      </c>
      <c r="AD295" s="98">
        <v>130</v>
      </c>
      <c r="AE295" s="98">
        <v>131</v>
      </c>
      <c r="AF295" s="98">
        <v>132</v>
      </c>
      <c r="AG295" s="98">
        <v>117</v>
      </c>
    </row>
    <row r="296" spans="1:33" x14ac:dyDescent="0.3">
      <c r="A296" s="7">
        <v>291</v>
      </c>
      <c r="B296" s="7" t="s">
        <v>672</v>
      </c>
      <c r="C296" s="7" t="s">
        <v>19</v>
      </c>
      <c r="D296" s="8">
        <f>'CDC Source Data'!D45</f>
        <v>439117</v>
      </c>
      <c r="E296" s="8">
        <f>'CDC Source Data'!E45</f>
        <v>79</v>
      </c>
      <c r="F296" s="31">
        <f t="shared" si="4"/>
        <v>17.996373038664515</v>
      </c>
      <c r="G296" s="9">
        <f>'CDC Source Data'!F45</f>
        <v>0.02</v>
      </c>
      <c r="H296" s="7" t="str">
        <f>'CDC Source Data'!G45</f>
        <v>Completeness of provisional 2019 data under 90% after 6 months.</v>
      </c>
      <c r="I296" s="97">
        <v>21.8</v>
      </c>
      <c r="J296" s="97">
        <v>22.8</v>
      </c>
      <c r="K296" s="98">
        <v>137</v>
      </c>
      <c r="L296" s="98">
        <v>127</v>
      </c>
      <c r="M296" s="98">
        <v>130</v>
      </c>
      <c r="N296" s="98">
        <v>140</v>
      </c>
      <c r="O296" s="98">
        <v>141</v>
      </c>
      <c r="P296" s="98">
        <v>147</v>
      </c>
      <c r="Q296" s="98">
        <v>151</v>
      </c>
      <c r="R296" s="98">
        <v>136</v>
      </c>
      <c r="S296" s="98">
        <v>138</v>
      </c>
      <c r="T296" s="98">
        <v>133</v>
      </c>
      <c r="U296" s="98">
        <v>127</v>
      </c>
      <c r="V296" s="98">
        <v>125</v>
      </c>
      <c r="W296" s="98">
        <v>121</v>
      </c>
      <c r="X296" s="98">
        <v>130</v>
      </c>
      <c r="Y296" s="98">
        <v>124</v>
      </c>
      <c r="Z296" s="98">
        <v>126</v>
      </c>
      <c r="AA296" s="98">
        <v>119</v>
      </c>
      <c r="AB296" s="98">
        <v>112</v>
      </c>
      <c r="AC296" s="98">
        <v>105</v>
      </c>
      <c r="AD296" s="98">
        <v>93</v>
      </c>
      <c r="AE296" s="98">
        <v>93</v>
      </c>
      <c r="AF296" s="98">
        <v>80</v>
      </c>
      <c r="AG296" s="98">
        <v>79</v>
      </c>
    </row>
    <row r="297" spans="1:33" x14ac:dyDescent="0.3">
      <c r="A297" s="7">
        <v>292</v>
      </c>
      <c r="B297" s="7" t="s">
        <v>673</v>
      </c>
      <c r="C297" s="7" t="s">
        <v>237</v>
      </c>
      <c r="D297" s="8">
        <f>'CDC Source Data'!D209</f>
        <v>311783</v>
      </c>
      <c r="E297" s="8">
        <f>'CDC Source Data'!E209</f>
        <v>56</v>
      </c>
      <c r="F297" s="31">
        <f t="shared" si="4"/>
        <v>17.990649416898002</v>
      </c>
      <c r="G297" s="9">
        <f>'CDC Source Data'!F209</f>
        <v>0.03</v>
      </c>
      <c r="H297" s="7">
        <f>'CDC Source Data'!G209</f>
        <v>0</v>
      </c>
      <c r="I297" s="97">
        <v>36.799999999999997</v>
      </c>
      <c r="J297" s="97">
        <v>38.5</v>
      </c>
      <c r="K297" s="98">
        <v>177</v>
      </c>
      <c r="L297" s="98">
        <v>166</v>
      </c>
      <c r="M297" s="98">
        <v>158</v>
      </c>
      <c r="N297" s="98">
        <v>149</v>
      </c>
      <c r="O297" s="98">
        <v>140</v>
      </c>
      <c r="P297" s="98">
        <v>123</v>
      </c>
      <c r="Q297" s="98">
        <v>123</v>
      </c>
      <c r="R297" s="98">
        <v>132</v>
      </c>
      <c r="S297" s="98">
        <v>130</v>
      </c>
      <c r="T297" s="98">
        <v>126</v>
      </c>
      <c r="U297" s="98">
        <v>125</v>
      </c>
      <c r="V297" s="98">
        <v>115</v>
      </c>
      <c r="W297" s="98">
        <v>110</v>
      </c>
      <c r="X297" s="98">
        <v>118</v>
      </c>
      <c r="Y297" s="98">
        <v>117</v>
      </c>
      <c r="Z297" s="98">
        <v>119</v>
      </c>
      <c r="AA297" s="98">
        <v>123</v>
      </c>
      <c r="AB297" s="98">
        <v>113</v>
      </c>
      <c r="AC297" s="98">
        <v>102</v>
      </c>
      <c r="AD297" s="98">
        <v>83</v>
      </c>
      <c r="AE297" s="98">
        <v>65</v>
      </c>
      <c r="AF297" s="98">
        <v>57</v>
      </c>
      <c r="AG297" s="98">
        <v>56</v>
      </c>
    </row>
    <row r="298" spans="1:33" x14ac:dyDescent="0.3">
      <c r="A298" s="7">
        <v>293</v>
      </c>
      <c r="B298" s="7" t="s">
        <v>674</v>
      </c>
      <c r="C298" s="7" t="s">
        <v>467</v>
      </c>
      <c r="D298" s="8">
        <f>'CDC Source Data'!D68</f>
        <v>167112</v>
      </c>
      <c r="E298" s="8">
        <f>'CDC Source Data'!E68</f>
        <v>30</v>
      </c>
      <c r="F298" s="31">
        <f t="shared" si="4"/>
        <v>17.961210200684452</v>
      </c>
      <c r="G298" s="9">
        <f>'CDC Source Data'!F68</f>
        <v>0.5</v>
      </c>
      <c r="H298" s="7" t="str">
        <f>'CDC Source Data'!G68</f>
        <v>Completeness of provisional 2019 data under 90% after 6 months.</v>
      </c>
      <c r="I298" s="97">
        <v>30.4</v>
      </c>
      <c r="J298" s="97">
        <v>31.7</v>
      </c>
      <c r="K298" s="98">
        <v>33</v>
      </c>
      <c r="L298" s="98">
        <v>43</v>
      </c>
      <c r="M298" s="98">
        <v>46</v>
      </c>
      <c r="N298" s="98">
        <v>49</v>
      </c>
      <c r="O298" s="98">
        <v>49</v>
      </c>
      <c r="P298" s="98">
        <v>49</v>
      </c>
      <c r="Q298" s="98">
        <v>50</v>
      </c>
      <c r="R298" s="98">
        <v>52</v>
      </c>
      <c r="S298" s="98">
        <v>51</v>
      </c>
      <c r="T298" s="98">
        <v>51</v>
      </c>
      <c r="U298" s="98">
        <v>57</v>
      </c>
      <c r="V298" s="98">
        <v>65</v>
      </c>
      <c r="W298" s="98">
        <v>73</v>
      </c>
      <c r="X298" s="98">
        <v>76</v>
      </c>
      <c r="Y298" s="98">
        <v>69</v>
      </c>
      <c r="Z298" s="98">
        <v>59</v>
      </c>
      <c r="AA298" s="98">
        <v>53</v>
      </c>
      <c r="AB298" s="98">
        <v>38</v>
      </c>
      <c r="AC298" s="98">
        <v>32</v>
      </c>
      <c r="AD298" s="98">
        <v>32</v>
      </c>
      <c r="AE298" s="98">
        <v>30</v>
      </c>
      <c r="AF298" s="98">
        <v>31</v>
      </c>
      <c r="AG298" s="98">
        <v>30</v>
      </c>
    </row>
    <row r="299" spans="1:33" x14ac:dyDescent="0.3">
      <c r="A299" s="7">
        <v>294</v>
      </c>
      <c r="B299" s="7" t="s">
        <v>675</v>
      </c>
      <c r="C299" s="7" t="s">
        <v>467</v>
      </c>
      <c r="D299" s="8">
        <f>'CDC Source Data'!D230</f>
        <v>146096</v>
      </c>
      <c r="E299" s="8">
        <f>'CDC Source Data'!E230</f>
        <v>26</v>
      </c>
      <c r="F299" s="31">
        <f t="shared" si="4"/>
        <v>17.952032170041647</v>
      </c>
      <c r="G299" s="9">
        <f>'CDC Source Data'!F230</f>
        <v>1.03</v>
      </c>
      <c r="H299" s="7" t="str">
        <f>'CDC Source Data'!G230</f>
        <v>Completeness of provisional 2019 data under 90% after 6 months.</v>
      </c>
      <c r="I299" s="97">
        <v>21.2</v>
      </c>
      <c r="J299" s="97">
        <v>22.2</v>
      </c>
      <c r="K299" s="98">
        <v>39</v>
      </c>
      <c r="L299" s="98">
        <v>46</v>
      </c>
      <c r="M299" s="98">
        <v>48</v>
      </c>
      <c r="N299" s="98">
        <v>47</v>
      </c>
      <c r="O299" s="98">
        <v>48</v>
      </c>
      <c r="P299" s="98">
        <v>49</v>
      </c>
      <c r="Q299" s="98">
        <v>57</v>
      </c>
      <c r="R299" s="98">
        <v>64</v>
      </c>
      <c r="S299" s="98">
        <v>60</v>
      </c>
      <c r="T299" s="98">
        <v>65</v>
      </c>
      <c r="U299" s="98">
        <v>60</v>
      </c>
      <c r="V299" s="98">
        <v>59</v>
      </c>
      <c r="W299" s="98">
        <v>55</v>
      </c>
      <c r="X299" s="98">
        <v>59</v>
      </c>
      <c r="Y299" s="98">
        <v>60</v>
      </c>
      <c r="Z299" s="98">
        <v>46</v>
      </c>
      <c r="AA299" s="98">
        <v>50</v>
      </c>
      <c r="AB299" s="98">
        <v>38</v>
      </c>
      <c r="AC299" s="98">
        <v>36</v>
      </c>
      <c r="AD299" s="98">
        <v>38</v>
      </c>
      <c r="AE299" s="98">
        <v>37</v>
      </c>
      <c r="AF299" s="98">
        <v>33</v>
      </c>
      <c r="AG299" s="98">
        <v>26</v>
      </c>
    </row>
    <row r="300" spans="1:33" x14ac:dyDescent="0.3">
      <c r="A300" s="7">
        <v>295</v>
      </c>
      <c r="B300" s="7" t="s">
        <v>496</v>
      </c>
      <c r="C300" s="7" t="s">
        <v>469</v>
      </c>
      <c r="D300" s="8">
        <f>'CDC Source Data'!D160</f>
        <v>151887</v>
      </c>
      <c r="E300" s="8">
        <f>'CDC Source Data'!E160</f>
        <v>27</v>
      </c>
      <c r="F300" s="31">
        <f t="shared" si="4"/>
        <v>17.79651735844924</v>
      </c>
      <c r="G300" s="9">
        <f>'CDC Source Data'!F160</f>
        <v>0.57999999999999996</v>
      </c>
      <c r="H300" s="7">
        <f>'CDC Source Data'!G160</f>
        <v>0</v>
      </c>
      <c r="I300" s="97">
        <v>16.600000000000001</v>
      </c>
      <c r="J300" s="97">
        <v>17.3</v>
      </c>
      <c r="K300" s="98">
        <v>24</v>
      </c>
      <c r="L300" s="98">
        <v>20</v>
      </c>
      <c r="M300" s="98">
        <v>31</v>
      </c>
      <c r="N300" s="98">
        <v>32</v>
      </c>
      <c r="O300" s="98">
        <v>33</v>
      </c>
      <c r="P300" s="98">
        <v>31</v>
      </c>
      <c r="Q300" s="98">
        <v>24</v>
      </c>
      <c r="R300" s="98">
        <v>22</v>
      </c>
      <c r="S300" s="98">
        <v>20</v>
      </c>
      <c r="T300" s="98">
        <v>23</v>
      </c>
      <c r="U300" s="98">
        <v>33</v>
      </c>
      <c r="V300" s="98">
        <v>31</v>
      </c>
      <c r="W300" s="98">
        <v>32</v>
      </c>
      <c r="X300" s="98">
        <v>33</v>
      </c>
      <c r="Y300" s="98">
        <v>22</v>
      </c>
      <c r="Z300" s="98">
        <v>24</v>
      </c>
      <c r="AA300" s="98">
        <v>24</v>
      </c>
      <c r="AB300" s="98">
        <v>23</v>
      </c>
      <c r="AC300" s="98">
        <v>18</v>
      </c>
      <c r="AD300" s="98">
        <v>19</v>
      </c>
      <c r="AE300" s="98">
        <v>21</v>
      </c>
      <c r="AF300" s="98">
        <v>23</v>
      </c>
      <c r="AG300" s="98">
        <v>27</v>
      </c>
    </row>
    <row r="301" spans="1:33" x14ac:dyDescent="0.3">
      <c r="A301" s="7">
        <v>296</v>
      </c>
      <c r="B301" s="7" t="s">
        <v>676</v>
      </c>
      <c r="C301" s="7" t="s">
        <v>15</v>
      </c>
      <c r="D301" s="8">
        <f>'CDC Source Data'!D622</f>
        <v>225251</v>
      </c>
      <c r="E301" s="8">
        <f>'CDC Source Data'!E622</f>
        <v>40</v>
      </c>
      <c r="F301" s="31">
        <f t="shared" si="4"/>
        <v>17.77637322483162</v>
      </c>
      <c r="G301" s="9">
        <f>'CDC Source Data'!F622</f>
        <v>0</v>
      </c>
      <c r="H301" s="7">
        <f>'CDC Source Data'!G622</f>
        <v>0</v>
      </c>
      <c r="I301" s="97">
        <v>13</v>
      </c>
      <c r="J301" s="97">
        <v>13.5</v>
      </c>
      <c r="K301" s="98">
        <v>26</v>
      </c>
      <c r="L301" s="98">
        <v>26</v>
      </c>
      <c r="M301" s="98">
        <v>27</v>
      </c>
      <c r="N301" s="98">
        <v>32</v>
      </c>
      <c r="O301" s="98">
        <v>39</v>
      </c>
      <c r="P301" s="98">
        <v>35</v>
      </c>
      <c r="Q301" s="98">
        <v>35</v>
      </c>
      <c r="R301" s="98">
        <v>33</v>
      </c>
      <c r="S301" s="98">
        <v>35</v>
      </c>
      <c r="T301" s="98">
        <v>38</v>
      </c>
      <c r="U301" s="98">
        <v>40</v>
      </c>
      <c r="V301" s="98">
        <v>45</v>
      </c>
      <c r="W301" s="98">
        <v>44</v>
      </c>
      <c r="X301" s="98">
        <v>45</v>
      </c>
      <c r="Y301" s="98">
        <v>45</v>
      </c>
      <c r="Z301" s="98">
        <v>43</v>
      </c>
      <c r="AA301" s="98">
        <v>42</v>
      </c>
      <c r="AB301" s="98">
        <v>42</v>
      </c>
      <c r="AC301" s="98">
        <v>46</v>
      </c>
      <c r="AD301" s="98">
        <v>46</v>
      </c>
      <c r="AE301" s="98">
        <v>49</v>
      </c>
      <c r="AF301" s="98">
        <v>42</v>
      </c>
      <c r="AG301" s="98">
        <v>40</v>
      </c>
    </row>
    <row r="302" spans="1:33" x14ac:dyDescent="0.3">
      <c r="A302" s="7">
        <v>297</v>
      </c>
      <c r="B302" s="7" t="s">
        <v>677</v>
      </c>
      <c r="C302" s="7" t="s">
        <v>43</v>
      </c>
      <c r="D302" s="8">
        <f>'CDC Source Data'!D626</f>
        <v>220310</v>
      </c>
      <c r="E302" s="8">
        <f>'CDC Source Data'!E626</f>
        <v>39</v>
      </c>
      <c r="F302" s="31">
        <f t="shared" si="4"/>
        <v>17.757967778167469</v>
      </c>
      <c r="G302" s="9">
        <f>'CDC Source Data'!F626</f>
        <v>0.11</v>
      </c>
      <c r="H302" s="7">
        <f>'CDC Source Data'!G626</f>
        <v>0</v>
      </c>
      <c r="I302" s="97">
        <v>18.100000000000001</v>
      </c>
      <c r="J302" s="97">
        <v>19</v>
      </c>
      <c r="K302" s="98">
        <v>41</v>
      </c>
      <c r="L302" s="98">
        <v>49</v>
      </c>
      <c r="M302" s="98">
        <v>56</v>
      </c>
      <c r="N302" s="98">
        <v>55</v>
      </c>
      <c r="O302" s="98">
        <v>61</v>
      </c>
      <c r="P302" s="98">
        <v>60</v>
      </c>
      <c r="Q302" s="98">
        <v>63</v>
      </c>
      <c r="R302" s="98">
        <v>65</v>
      </c>
      <c r="S302" s="98">
        <v>56</v>
      </c>
      <c r="T302" s="98">
        <v>56</v>
      </c>
      <c r="U302" s="98">
        <v>49</v>
      </c>
      <c r="V302" s="98">
        <v>43</v>
      </c>
      <c r="W302" s="98">
        <v>41</v>
      </c>
      <c r="X302" s="98">
        <v>35</v>
      </c>
      <c r="Y302" s="98">
        <v>44</v>
      </c>
      <c r="Z302" s="98">
        <v>45</v>
      </c>
      <c r="AA302" s="98">
        <v>51</v>
      </c>
      <c r="AB302" s="98">
        <v>51</v>
      </c>
      <c r="AC302" s="98">
        <v>45</v>
      </c>
      <c r="AD302" s="98">
        <v>42</v>
      </c>
      <c r="AE302" s="98">
        <v>45</v>
      </c>
      <c r="AF302" s="98">
        <v>48</v>
      </c>
      <c r="AG302" s="98">
        <v>39</v>
      </c>
    </row>
    <row r="303" spans="1:33" x14ac:dyDescent="0.3">
      <c r="A303" s="7">
        <v>298</v>
      </c>
      <c r="B303" s="7" t="s">
        <v>678</v>
      </c>
      <c r="C303" s="7" t="s">
        <v>604</v>
      </c>
      <c r="D303" s="8">
        <f>'CDC Source Data'!D605</f>
        <v>129984</v>
      </c>
      <c r="E303" s="8">
        <f>'CDC Source Data'!E605</f>
        <v>23</v>
      </c>
      <c r="F303" s="31">
        <f t="shared" si="4"/>
        <v>17.702328537061412</v>
      </c>
      <c r="G303" s="9">
        <f>'CDC Source Data'!F605</f>
        <v>0</v>
      </c>
      <c r="H303" s="7" t="str">
        <f>'CDC Source Data'!G605</f>
        <v>Completeness of provisional 2019 data under 90% after 6 months.</v>
      </c>
      <c r="I303" s="97">
        <v>20.7</v>
      </c>
      <c r="J303" s="97">
        <v>21.6</v>
      </c>
      <c r="K303" s="98">
        <v>16</v>
      </c>
      <c r="L303" s="98">
        <v>19</v>
      </c>
      <c r="M303" s="98">
        <v>21</v>
      </c>
      <c r="N303" s="98">
        <v>20</v>
      </c>
      <c r="O303" s="98">
        <v>25</v>
      </c>
      <c r="P303" s="98">
        <v>23</v>
      </c>
      <c r="Q303" s="98">
        <v>24</v>
      </c>
      <c r="R303" s="98">
        <v>26</v>
      </c>
      <c r="S303" s="98">
        <v>25</v>
      </c>
      <c r="T303" s="98">
        <v>31</v>
      </c>
      <c r="U303" s="98">
        <v>36</v>
      </c>
      <c r="V303" s="98">
        <v>39</v>
      </c>
      <c r="W303" s="98">
        <v>41</v>
      </c>
      <c r="X303" s="98">
        <v>35</v>
      </c>
      <c r="Y303" s="98">
        <v>31</v>
      </c>
      <c r="Z303" s="98">
        <v>27</v>
      </c>
      <c r="AA303" s="98">
        <v>22</v>
      </c>
      <c r="AB303" s="98">
        <v>24</v>
      </c>
      <c r="AC303" s="98">
        <v>18</v>
      </c>
      <c r="AD303" s="98">
        <v>22</v>
      </c>
      <c r="AE303" s="98">
        <v>24</v>
      </c>
      <c r="AF303" s="98">
        <v>19</v>
      </c>
      <c r="AG303" s="98">
        <v>23</v>
      </c>
    </row>
    <row r="304" spans="1:33" x14ac:dyDescent="0.3">
      <c r="A304" s="7">
        <v>299</v>
      </c>
      <c r="B304" s="7" t="s">
        <v>679</v>
      </c>
      <c r="C304" s="7" t="s">
        <v>32</v>
      </c>
      <c r="D304" s="8">
        <f>'CDC Source Data'!D400</f>
        <v>1660664</v>
      </c>
      <c r="E304" s="8">
        <f>'CDC Source Data'!E400</f>
        <v>293</v>
      </c>
      <c r="F304" s="31">
        <f t="shared" si="4"/>
        <v>17.694485475135401</v>
      </c>
      <c r="G304" s="9">
        <f>'CDC Source Data'!F400</f>
        <v>0.61</v>
      </c>
      <c r="H304" s="7">
        <f>'CDC Source Data'!G400</f>
        <v>0</v>
      </c>
      <c r="I304" s="97">
        <v>17.5</v>
      </c>
      <c r="J304" s="97">
        <v>18.3</v>
      </c>
      <c r="K304" s="98">
        <v>349</v>
      </c>
      <c r="L304" s="98">
        <v>382</v>
      </c>
      <c r="M304" s="98">
        <v>391</v>
      </c>
      <c r="N304" s="98">
        <v>396</v>
      </c>
      <c r="O304" s="98">
        <v>419</v>
      </c>
      <c r="P304" s="98">
        <v>457</v>
      </c>
      <c r="Q304" s="98">
        <v>479</v>
      </c>
      <c r="R304" s="98">
        <v>494</v>
      </c>
      <c r="S304" s="98">
        <v>499</v>
      </c>
      <c r="T304" s="98">
        <v>483</v>
      </c>
      <c r="U304" s="98">
        <v>475</v>
      </c>
      <c r="V304" s="98">
        <v>510</v>
      </c>
      <c r="W304" s="98">
        <v>520</v>
      </c>
      <c r="X304" s="98">
        <v>543</v>
      </c>
      <c r="Y304" s="98">
        <v>574</v>
      </c>
      <c r="Z304" s="98">
        <v>539</v>
      </c>
      <c r="AA304" s="98">
        <v>524</v>
      </c>
      <c r="AB304" s="98">
        <v>492</v>
      </c>
      <c r="AC304" s="98">
        <v>448</v>
      </c>
      <c r="AD304" s="98">
        <v>412</v>
      </c>
      <c r="AE304" s="98">
        <v>381</v>
      </c>
      <c r="AF304" s="98">
        <v>338</v>
      </c>
      <c r="AG304" s="98">
        <v>293</v>
      </c>
    </row>
    <row r="305" spans="1:33" x14ac:dyDescent="0.3">
      <c r="A305" s="7">
        <v>300</v>
      </c>
      <c r="B305" s="7" t="s">
        <v>680</v>
      </c>
      <c r="C305" s="7" t="s">
        <v>463</v>
      </c>
      <c r="D305" s="8">
        <f>'CDC Source Data'!D348</f>
        <v>102156</v>
      </c>
      <c r="E305" s="8">
        <f>'CDC Source Data'!E348</f>
        <v>18</v>
      </c>
      <c r="F305" s="31">
        <f t="shared" si="4"/>
        <v>17.643544991641896</v>
      </c>
      <c r="G305" s="9">
        <f>'CDC Source Data'!F348</f>
        <v>1.35</v>
      </c>
      <c r="H305" s="7" t="str">
        <f>'CDC Source Data'!G348</f>
        <v>Completeness of provisional 2019 data under 90% after 6 months.</v>
      </c>
      <c r="I305" s="97">
        <v>18.100000000000001</v>
      </c>
      <c r="J305" s="97">
        <v>18.899999999999999</v>
      </c>
      <c r="K305" s="98">
        <v>19</v>
      </c>
      <c r="L305" s="98">
        <v>16</v>
      </c>
      <c r="M305" s="98">
        <v>16</v>
      </c>
      <c r="N305" s="98">
        <v>17</v>
      </c>
      <c r="O305" s="98">
        <v>20</v>
      </c>
      <c r="P305" s="98">
        <v>29</v>
      </c>
      <c r="Q305" s="98">
        <v>29</v>
      </c>
      <c r="R305" s="98">
        <v>32</v>
      </c>
      <c r="S305" s="98">
        <v>34</v>
      </c>
      <c r="T305" s="98">
        <v>29</v>
      </c>
      <c r="U305" s="98">
        <v>26</v>
      </c>
      <c r="V305" s="98">
        <v>29</v>
      </c>
      <c r="W305" s="98">
        <v>25</v>
      </c>
      <c r="X305" s="98">
        <v>26</v>
      </c>
      <c r="Y305" s="98">
        <v>30</v>
      </c>
      <c r="Z305" s="98">
        <v>26</v>
      </c>
      <c r="AA305" s="98">
        <v>24</v>
      </c>
      <c r="AB305" s="98">
        <v>23</v>
      </c>
      <c r="AC305" s="98">
        <v>20</v>
      </c>
      <c r="AD305" s="98">
        <v>21</v>
      </c>
      <c r="AE305" s="98">
        <v>25</v>
      </c>
      <c r="AF305" s="98">
        <v>21</v>
      </c>
      <c r="AG305" s="98">
        <v>18</v>
      </c>
    </row>
    <row r="306" spans="1:33" x14ac:dyDescent="0.3">
      <c r="A306" s="7">
        <v>301</v>
      </c>
      <c r="B306" s="7" t="s">
        <v>629</v>
      </c>
      <c r="C306" s="7" t="s">
        <v>11</v>
      </c>
      <c r="D306" s="8">
        <f>'CDC Source Data'!D89</f>
        <v>177108</v>
      </c>
      <c r="E306" s="8">
        <f>'CDC Source Data'!E89</f>
        <v>31</v>
      </c>
      <c r="F306" s="31">
        <f t="shared" si="4"/>
        <v>17.620110419358628</v>
      </c>
      <c r="G306" s="9">
        <f>'CDC Source Data'!F89</f>
        <v>0</v>
      </c>
      <c r="H306" s="7">
        <f>'CDC Source Data'!G89</f>
        <v>0</v>
      </c>
      <c r="I306" s="97">
        <v>29.4</v>
      </c>
      <c r="J306" s="97">
        <v>30.7</v>
      </c>
      <c r="K306" s="98">
        <v>65</v>
      </c>
      <c r="L306" s="98">
        <v>67</v>
      </c>
      <c r="M306" s="98">
        <v>63</v>
      </c>
      <c r="N306" s="98">
        <v>60</v>
      </c>
      <c r="O306" s="98">
        <v>71</v>
      </c>
      <c r="P306" s="98">
        <v>67</v>
      </c>
      <c r="Q306" s="98">
        <v>74</v>
      </c>
      <c r="R306" s="98">
        <v>71</v>
      </c>
      <c r="S306" s="98">
        <v>56</v>
      </c>
      <c r="T306" s="98">
        <v>58</v>
      </c>
      <c r="U306" s="98">
        <v>50</v>
      </c>
      <c r="V306" s="98">
        <v>53</v>
      </c>
      <c r="W306" s="98">
        <v>59</v>
      </c>
      <c r="X306" s="98">
        <v>48</v>
      </c>
      <c r="Y306" s="98">
        <v>50</v>
      </c>
      <c r="Z306" s="98">
        <v>42</v>
      </c>
      <c r="AA306" s="98">
        <v>38</v>
      </c>
      <c r="AB306" s="98">
        <v>35</v>
      </c>
      <c r="AC306" s="98">
        <v>28</v>
      </c>
      <c r="AD306" s="98">
        <v>27</v>
      </c>
      <c r="AE306" s="98">
        <v>26</v>
      </c>
      <c r="AF306" s="98">
        <v>31</v>
      </c>
      <c r="AG306" s="98">
        <v>31</v>
      </c>
    </row>
    <row r="307" spans="1:33" x14ac:dyDescent="0.3">
      <c r="A307" s="7">
        <v>302</v>
      </c>
      <c r="B307" s="7" t="s">
        <v>681</v>
      </c>
      <c r="C307" s="7" t="s">
        <v>32</v>
      </c>
      <c r="D307" s="8">
        <f>'CDC Source Data'!D291</f>
        <v>2617631</v>
      </c>
      <c r="E307" s="8">
        <f>'CDC Source Data'!E291</f>
        <v>458</v>
      </c>
      <c r="F307" s="31">
        <f t="shared" si="4"/>
        <v>17.503444226121914</v>
      </c>
      <c r="G307" s="9">
        <f>'CDC Source Data'!F291</f>
        <v>0.39</v>
      </c>
      <c r="H307" s="7">
        <f>'CDC Source Data'!G291</f>
        <v>0</v>
      </c>
      <c r="I307" s="97">
        <v>13.9</v>
      </c>
      <c r="J307" s="97">
        <v>14.5</v>
      </c>
      <c r="K307" s="98">
        <v>358</v>
      </c>
      <c r="L307" s="98">
        <v>391</v>
      </c>
      <c r="M307" s="98">
        <v>422</v>
      </c>
      <c r="N307" s="98">
        <v>465</v>
      </c>
      <c r="O307" s="98">
        <v>514</v>
      </c>
      <c r="P307" s="98">
        <v>549</v>
      </c>
      <c r="Q307" s="98">
        <v>598</v>
      </c>
      <c r="R307" s="98">
        <v>630</v>
      </c>
      <c r="S307" s="98">
        <v>643</v>
      </c>
      <c r="T307" s="98">
        <v>648</v>
      </c>
      <c r="U307" s="98">
        <v>688</v>
      </c>
      <c r="V307" s="98">
        <v>745</v>
      </c>
      <c r="W307" s="98">
        <v>757</v>
      </c>
      <c r="X307" s="98">
        <v>807</v>
      </c>
      <c r="Y307" s="98">
        <v>782</v>
      </c>
      <c r="Z307" s="98">
        <v>742</v>
      </c>
      <c r="AA307" s="98">
        <v>722</v>
      </c>
      <c r="AB307" s="98">
        <v>683</v>
      </c>
      <c r="AC307" s="98">
        <v>605</v>
      </c>
      <c r="AD307" s="98">
        <v>511</v>
      </c>
      <c r="AE307" s="98">
        <v>499</v>
      </c>
      <c r="AF307" s="98">
        <v>456</v>
      </c>
      <c r="AG307" s="98">
        <v>458</v>
      </c>
    </row>
    <row r="308" spans="1:33" x14ac:dyDescent="0.3">
      <c r="A308" s="7">
        <v>303</v>
      </c>
      <c r="B308" s="7" t="s">
        <v>682</v>
      </c>
      <c r="C308" s="7" t="s">
        <v>15</v>
      </c>
      <c r="D308" s="8">
        <f>'CDC Source Data'!D564</f>
        <v>483546</v>
      </c>
      <c r="E308" s="8">
        <f>'CDC Source Data'!E564</f>
        <v>84</v>
      </c>
      <c r="F308" s="31">
        <f t="shared" si="4"/>
        <v>17.496736553013012</v>
      </c>
      <c r="G308" s="9">
        <f>'CDC Source Data'!F564</f>
        <v>0.03</v>
      </c>
      <c r="H308" s="7">
        <f>'CDC Source Data'!G564</f>
        <v>0</v>
      </c>
      <c r="I308" s="97">
        <v>11.9</v>
      </c>
      <c r="J308" s="97">
        <v>12.4</v>
      </c>
      <c r="K308" s="98">
        <v>51</v>
      </c>
      <c r="L308" s="98">
        <v>61</v>
      </c>
      <c r="M308" s="98">
        <v>60</v>
      </c>
      <c r="N308" s="98">
        <v>71</v>
      </c>
      <c r="O308" s="98">
        <v>81</v>
      </c>
      <c r="P308" s="98">
        <v>87</v>
      </c>
      <c r="Q308" s="98">
        <v>104</v>
      </c>
      <c r="R308" s="98">
        <v>92</v>
      </c>
      <c r="S308" s="98">
        <v>83</v>
      </c>
      <c r="T308" s="98">
        <v>84</v>
      </c>
      <c r="U308" s="98">
        <v>87</v>
      </c>
      <c r="V308" s="98">
        <v>103</v>
      </c>
      <c r="W308" s="98">
        <v>112</v>
      </c>
      <c r="X308" s="98">
        <v>111</v>
      </c>
      <c r="Y308" s="98">
        <v>112</v>
      </c>
      <c r="Z308" s="98">
        <v>111</v>
      </c>
      <c r="AA308" s="98">
        <v>108</v>
      </c>
      <c r="AB308" s="98">
        <v>111</v>
      </c>
      <c r="AC308" s="98">
        <v>106</v>
      </c>
      <c r="AD308" s="98">
        <v>101</v>
      </c>
      <c r="AE308" s="98">
        <v>100</v>
      </c>
      <c r="AF308" s="98">
        <v>94</v>
      </c>
      <c r="AG308" s="98">
        <v>84</v>
      </c>
    </row>
    <row r="309" spans="1:33" x14ac:dyDescent="0.3">
      <c r="A309" s="7">
        <v>304</v>
      </c>
      <c r="B309" s="7" t="s">
        <v>612</v>
      </c>
      <c r="C309" s="7" t="s">
        <v>50</v>
      </c>
      <c r="D309" s="8">
        <f>'CDC Source Data'!D244</f>
        <v>1581426</v>
      </c>
      <c r="E309" s="8">
        <f>'CDC Source Data'!E244</f>
        <v>274</v>
      </c>
      <c r="F309" s="31">
        <f t="shared" si="4"/>
        <v>17.371666811430558</v>
      </c>
      <c r="G309" s="9">
        <f>'CDC Source Data'!F244</f>
        <v>0.06</v>
      </c>
      <c r="H309" s="7">
        <f>'CDC Source Data'!G244</f>
        <v>0</v>
      </c>
      <c r="I309" s="97">
        <v>23.6</v>
      </c>
      <c r="J309" s="97">
        <v>24.7</v>
      </c>
      <c r="K309" s="98">
        <v>322</v>
      </c>
      <c r="L309" s="98">
        <v>416</v>
      </c>
      <c r="M309" s="98">
        <v>460</v>
      </c>
      <c r="N309" s="98">
        <v>493</v>
      </c>
      <c r="O309" s="98">
        <v>516</v>
      </c>
      <c r="P309" s="98">
        <v>517</v>
      </c>
      <c r="Q309" s="98">
        <v>516</v>
      </c>
      <c r="R309" s="98">
        <v>535</v>
      </c>
      <c r="S309" s="98">
        <v>541</v>
      </c>
      <c r="T309" s="98">
        <v>549</v>
      </c>
      <c r="U309" s="98">
        <v>568</v>
      </c>
      <c r="V309" s="98">
        <v>570</v>
      </c>
      <c r="W309" s="98">
        <v>543</v>
      </c>
      <c r="X309" s="98">
        <v>503</v>
      </c>
      <c r="Y309" s="98">
        <v>505</v>
      </c>
      <c r="Z309" s="98">
        <v>488</v>
      </c>
      <c r="AA309" s="98">
        <v>495</v>
      </c>
      <c r="AB309" s="98">
        <v>464</v>
      </c>
      <c r="AC309" s="98">
        <v>393</v>
      </c>
      <c r="AD309" s="98">
        <v>335</v>
      </c>
      <c r="AE309" s="98">
        <v>290</v>
      </c>
      <c r="AF309" s="98">
        <v>264</v>
      </c>
      <c r="AG309" s="98">
        <v>274</v>
      </c>
    </row>
    <row r="310" spans="1:33" x14ac:dyDescent="0.3">
      <c r="A310" s="7">
        <v>305</v>
      </c>
      <c r="B310" s="7" t="s">
        <v>683</v>
      </c>
      <c r="C310" s="7" t="s">
        <v>469</v>
      </c>
      <c r="D310" s="8">
        <f>'CDC Source Data'!D125</f>
        <v>167472</v>
      </c>
      <c r="E310" s="8">
        <f>'CDC Source Data'!E125</f>
        <v>29</v>
      </c>
      <c r="F310" s="31">
        <f t="shared" si="4"/>
        <v>17.326134766976136</v>
      </c>
      <c r="G310" s="9">
        <f>'CDC Source Data'!F125</f>
        <v>0.65</v>
      </c>
      <c r="H310" s="7">
        <f>'CDC Source Data'!G125</f>
        <v>0</v>
      </c>
      <c r="I310" s="97">
        <v>14.5</v>
      </c>
      <c r="J310" s="97">
        <v>15.1</v>
      </c>
      <c r="K310" s="98">
        <v>23</v>
      </c>
      <c r="L310" s="98">
        <v>25</v>
      </c>
      <c r="M310" s="98">
        <v>26</v>
      </c>
      <c r="N310" s="98">
        <v>27</v>
      </c>
      <c r="O310" s="98">
        <v>28</v>
      </c>
      <c r="P310" s="98">
        <v>26</v>
      </c>
      <c r="Q310" s="98">
        <v>29</v>
      </c>
      <c r="R310" s="98">
        <v>34</v>
      </c>
      <c r="S310" s="98">
        <v>34</v>
      </c>
      <c r="T310" s="98">
        <v>42</v>
      </c>
      <c r="U310" s="98">
        <v>43</v>
      </c>
      <c r="V310" s="98">
        <v>41</v>
      </c>
      <c r="W310" s="98">
        <v>47</v>
      </c>
      <c r="X310" s="98">
        <v>42</v>
      </c>
      <c r="Y310" s="98">
        <v>42</v>
      </c>
      <c r="Z310" s="98">
        <v>39</v>
      </c>
      <c r="AA310" s="98">
        <v>32</v>
      </c>
      <c r="AB310" s="98">
        <v>31</v>
      </c>
      <c r="AC310" s="98">
        <v>30</v>
      </c>
      <c r="AD310" s="98">
        <v>31</v>
      </c>
      <c r="AE310" s="98">
        <v>31</v>
      </c>
      <c r="AF310" s="98">
        <v>30</v>
      </c>
      <c r="AG310" s="98">
        <v>29</v>
      </c>
    </row>
    <row r="311" spans="1:33" x14ac:dyDescent="0.3">
      <c r="A311" s="7">
        <v>306</v>
      </c>
      <c r="B311" s="7" t="s">
        <v>684</v>
      </c>
      <c r="C311" s="7" t="s">
        <v>604</v>
      </c>
      <c r="D311" s="8">
        <f>'CDC Source Data'!D562</f>
        <v>1363767</v>
      </c>
      <c r="E311" s="8">
        <f>'CDC Source Data'!E562</f>
        <v>236</v>
      </c>
      <c r="F311" s="31">
        <f t="shared" si="4"/>
        <v>17.316327505493454</v>
      </c>
      <c r="G311" s="9">
        <f>'CDC Source Data'!F562</f>
        <v>0.03</v>
      </c>
      <c r="H311" s="7">
        <f>'CDC Source Data'!G562</f>
        <v>0</v>
      </c>
      <c r="I311" s="97">
        <v>15.6</v>
      </c>
      <c r="J311" s="97">
        <v>16.3</v>
      </c>
      <c r="K311" s="98">
        <v>175</v>
      </c>
      <c r="L311" s="98">
        <v>201</v>
      </c>
      <c r="M311" s="98">
        <v>207</v>
      </c>
      <c r="N311" s="98">
        <v>216</v>
      </c>
      <c r="O311" s="98">
        <v>242</v>
      </c>
      <c r="P311" s="98">
        <v>256</v>
      </c>
      <c r="Q311" s="98">
        <v>274</v>
      </c>
      <c r="R311" s="98">
        <v>269</v>
      </c>
      <c r="S311" s="98">
        <v>283</v>
      </c>
      <c r="T311" s="98">
        <v>288</v>
      </c>
      <c r="U311" s="98">
        <v>304</v>
      </c>
      <c r="V311" s="98">
        <v>338</v>
      </c>
      <c r="W311" s="98">
        <v>362</v>
      </c>
      <c r="X311" s="98">
        <v>355</v>
      </c>
      <c r="Y311" s="98">
        <v>367</v>
      </c>
      <c r="Z311" s="98">
        <v>355</v>
      </c>
      <c r="AA311" s="98">
        <v>321</v>
      </c>
      <c r="AB311" s="98">
        <v>348</v>
      </c>
      <c r="AC311" s="98">
        <v>317</v>
      </c>
      <c r="AD311" s="98">
        <v>299</v>
      </c>
      <c r="AE311" s="98">
        <v>291</v>
      </c>
      <c r="AF311" s="98">
        <v>236</v>
      </c>
      <c r="AG311" s="98">
        <v>236</v>
      </c>
    </row>
    <row r="312" spans="1:33" x14ac:dyDescent="0.3">
      <c r="A312" s="7">
        <v>307</v>
      </c>
      <c r="B312" s="7" t="s">
        <v>685</v>
      </c>
      <c r="C312" s="7" t="s">
        <v>15</v>
      </c>
      <c r="D312" s="8">
        <f>'CDC Source Data'!D12</f>
        <v>1649060</v>
      </c>
      <c r="E312" s="8">
        <f>'CDC Source Data'!E12</f>
        <v>284</v>
      </c>
      <c r="F312" s="31">
        <f t="shared" si="4"/>
        <v>17.305008846819142</v>
      </c>
      <c r="G312" s="9">
        <f>'CDC Source Data'!F12</f>
        <v>0.03</v>
      </c>
      <c r="H312" s="7">
        <f>'CDC Source Data'!G12</f>
        <v>0</v>
      </c>
      <c r="I312" s="97">
        <v>14.8</v>
      </c>
      <c r="J312" s="97">
        <v>15.4</v>
      </c>
      <c r="K312" s="98">
        <v>266</v>
      </c>
      <c r="L312" s="98">
        <v>288</v>
      </c>
      <c r="M312" s="98">
        <v>314</v>
      </c>
      <c r="N312" s="98">
        <v>320</v>
      </c>
      <c r="O312" s="98">
        <v>336</v>
      </c>
      <c r="P312" s="98">
        <v>341</v>
      </c>
      <c r="Q312" s="98">
        <v>343</v>
      </c>
      <c r="R312" s="98">
        <v>332</v>
      </c>
      <c r="S312" s="98">
        <v>333</v>
      </c>
      <c r="T312" s="98">
        <v>327</v>
      </c>
      <c r="U312" s="98">
        <v>321</v>
      </c>
      <c r="V312" s="98">
        <v>331</v>
      </c>
      <c r="W312" s="98">
        <v>348</v>
      </c>
      <c r="X312" s="98">
        <v>377</v>
      </c>
      <c r="Y312" s="98">
        <v>407</v>
      </c>
      <c r="Z312" s="98">
        <v>414</v>
      </c>
      <c r="AA312" s="98">
        <v>417</v>
      </c>
      <c r="AB312" s="98">
        <v>395</v>
      </c>
      <c r="AC312" s="98">
        <v>352</v>
      </c>
      <c r="AD312" s="98">
        <v>336</v>
      </c>
      <c r="AE312" s="98">
        <v>327</v>
      </c>
      <c r="AF312" s="98">
        <v>306</v>
      </c>
      <c r="AG312" s="98">
        <v>284</v>
      </c>
    </row>
    <row r="313" spans="1:33" x14ac:dyDescent="0.3">
      <c r="A313" s="7">
        <v>308</v>
      </c>
      <c r="B313" s="7" t="s">
        <v>686</v>
      </c>
      <c r="C313" s="7" t="s">
        <v>21</v>
      </c>
      <c r="D313" s="8">
        <f>'CDC Source Data'!D619</f>
        <v>110886</v>
      </c>
      <c r="E313" s="8">
        <f>'CDC Source Data'!E619</f>
        <v>19</v>
      </c>
      <c r="F313" s="31">
        <f t="shared" si="4"/>
        <v>17.221932494875869</v>
      </c>
      <c r="G313" s="9">
        <f>'CDC Source Data'!F619</f>
        <v>0.18</v>
      </c>
      <c r="H313" s="7">
        <f>'CDC Source Data'!G619</f>
        <v>0</v>
      </c>
      <c r="I313" s="97">
        <v>13.8</v>
      </c>
      <c r="J313" s="97">
        <v>14.4</v>
      </c>
      <c r="K313" s="98">
        <v>12</v>
      </c>
      <c r="L313" s="98">
        <v>17</v>
      </c>
      <c r="M313" s="98">
        <v>20</v>
      </c>
      <c r="N313" s="98">
        <v>18</v>
      </c>
      <c r="O313" s="98">
        <v>15</v>
      </c>
      <c r="P313" s="98">
        <v>19</v>
      </c>
      <c r="Q313" s="98">
        <v>25</v>
      </c>
      <c r="R313" s="98">
        <v>28</v>
      </c>
      <c r="S313" s="98">
        <v>35</v>
      </c>
      <c r="T313" s="98">
        <v>33</v>
      </c>
      <c r="U313" s="98">
        <v>25</v>
      </c>
      <c r="V313" s="98">
        <v>26</v>
      </c>
      <c r="W313" s="98">
        <v>22</v>
      </c>
      <c r="X313" s="98">
        <v>16</v>
      </c>
      <c r="Y313" s="98">
        <v>20</v>
      </c>
      <c r="Z313" s="98">
        <v>26</v>
      </c>
      <c r="AA313" s="98">
        <v>26</v>
      </c>
      <c r="AB313" s="98">
        <v>33</v>
      </c>
      <c r="AC313" s="98">
        <v>27</v>
      </c>
      <c r="AD313" s="98">
        <v>20</v>
      </c>
      <c r="AE313" s="98">
        <v>22</v>
      </c>
      <c r="AF313" s="98">
        <v>20</v>
      </c>
      <c r="AG313" s="98">
        <v>19</v>
      </c>
    </row>
    <row r="314" spans="1:33" x14ac:dyDescent="0.3">
      <c r="A314" s="7">
        <v>309</v>
      </c>
      <c r="B314" s="7" t="s">
        <v>687</v>
      </c>
      <c r="C314" s="7" t="s">
        <v>19</v>
      </c>
      <c r="D314" s="8">
        <f>'CDC Source Data'!D143</f>
        <v>293029</v>
      </c>
      <c r="E314" s="8">
        <f>'CDC Source Data'!E143</f>
        <v>50</v>
      </c>
      <c r="F314" s="31">
        <f t="shared" si="4"/>
        <v>17.13471493245315</v>
      </c>
      <c r="G314" s="9">
        <f>'CDC Source Data'!F143</f>
        <v>7.0000000000000007E-2</v>
      </c>
      <c r="H314" s="7">
        <f>'CDC Source Data'!G143</f>
        <v>0</v>
      </c>
      <c r="I314" s="97">
        <v>23.8</v>
      </c>
      <c r="J314" s="97">
        <v>24.9</v>
      </c>
      <c r="K314" s="98">
        <v>84</v>
      </c>
      <c r="L314" s="98">
        <v>92</v>
      </c>
      <c r="M314" s="98">
        <v>104</v>
      </c>
      <c r="N314" s="98">
        <v>100</v>
      </c>
      <c r="O314" s="98">
        <v>107</v>
      </c>
      <c r="P314" s="98">
        <v>99</v>
      </c>
      <c r="Q314" s="98">
        <v>93</v>
      </c>
      <c r="R314" s="98">
        <v>93</v>
      </c>
      <c r="S314" s="98">
        <v>90</v>
      </c>
      <c r="T314" s="98">
        <v>91</v>
      </c>
      <c r="U314" s="98">
        <v>94</v>
      </c>
      <c r="V314" s="98">
        <v>102</v>
      </c>
      <c r="W314" s="98">
        <v>104</v>
      </c>
      <c r="X314" s="98">
        <v>101</v>
      </c>
      <c r="Y314" s="98">
        <v>117</v>
      </c>
      <c r="Z314" s="98">
        <v>108</v>
      </c>
      <c r="AA314" s="98">
        <v>100</v>
      </c>
      <c r="AB314" s="98">
        <v>96</v>
      </c>
      <c r="AC314" s="98">
        <v>65</v>
      </c>
      <c r="AD314" s="98">
        <v>58</v>
      </c>
      <c r="AE314" s="98">
        <v>62</v>
      </c>
      <c r="AF314" s="98">
        <v>54</v>
      </c>
      <c r="AG314" s="98">
        <v>50</v>
      </c>
    </row>
    <row r="315" spans="1:33" x14ac:dyDescent="0.3">
      <c r="A315" s="7">
        <v>310</v>
      </c>
      <c r="B315" s="7" t="s">
        <v>688</v>
      </c>
      <c r="C315" s="7" t="s">
        <v>604</v>
      </c>
      <c r="D315" s="8">
        <f>'CDC Source Data'!D172</f>
        <v>170022</v>
      </c>
      <c r="E315" s="8">
        <f>'CDC Source Data'!E172</f>
        <v>29</v>
      </c>
      <c r="F315" s="31">
        <f t="shared" si="4"/>
        <v>17.06315757143491</v>
      </c>
      <c r="G315" s="9">
        <f>'CDC Source Data'!F172</f>
        <v>0.08</v>
      </c>
      <c r="H315" s="7">
        <f>'CDC Source Data'!G172</f>
        <v>0</v>
      </c>
      <c r="I315" s="97">
        <v>17.100000000000001</v>
      </c>
      <c r="J315" s="97">
        <v>17.8</v>
      </c>
      <c r="K315" s="98">
        <v>28</v>
      </c>
      <c r="L315" s="98">
        <v>30</v>
      </c>
      <c r="M315" s="98">
        <v>35</v>
      </c>
      <c r="N315" s="98">
        <v>32</v>
      </c>
      <c r="O315" s="98">
        <v>32</v>
      </c>
      <c r="P315" s="98">
        <v>36</v>
      </c>
      <c r="Q315" s="98">
        <v>32</v>
      </c>
      <c r="R315" s="98">
        <v>36</v>
      </c>
      <c r="S315" s="98">
        <v>34</v>
      </c>
      <c r="T315" s="98">
        <v>33</v>
      </c>
      <c r="U315" s="98">
        <v>38</v>
      </c>
      <c r="V315" s="98">
        <v>35</v>
      </c>
      <c r="W315" s="98">
        <v>36</v>
      </c>
      <c r="X315" s="98">
        <v>34</v>
      </c>
      <c r="Y315" s="98">
        <v>32</v>
      </c>
      <c r="Z315" s="98">
        <v>36</v>
      </c>
      <c r="AA315" s="98">
        <v>40</v>
      </c>
      <c r="AB315" s="98">
        <v>40</v>
      </c>
      <c r="AC315" s="98">
        <v>39</v>
      </c>
      <c r="AD315" s="98">
        <v>35</v>
      </c>
      <c r="AE315" s="98">
        <v>30</v>
      </c>
      <c r="AF315" s="98">
        <v>31</v>
      </c>
      <c r="AG315" s="98">
        <v>29</v>
      </c>
    </row>
    <row r="316" spans="1:33" x14ac:dyDescent="0.3">
      <c r="A316" s="7">
        <v>311</v>
      </c>
      <c r="B316" s="7" t="s">
        <v>656</v>
      </c>
      <c r="C316" s="7" t="s">
        <v>35</v>
      </c>
      <c r="D316" s="8">
        <f>'CDC Source Data'!D19</f>
        <v>399295</v>
      </c>
      <c r="E316" s="8">
        <f>'CDC Source Data'!E19</f>
        <v>68</v>
      </c>
      <c r="F316" s="31">
        <f t="shared" si="4"/>
        <v>17.056616202609074</v>
      </c>
      <c r="G316" s="9">
        <f>'CDC Source Data'!F19</f>
        <v>0.03</v>
      </c>
      <c r="H316" s="7">
        <f>'CDC Source Data'!G19</f>
        <v>0</v>
      </c>
      <c r="I316" s="97">
        <v>20.7</v>
      </c>
      <c r="J316" s="97">
        <v>21.6</v>
      </c>
      <c r="K316" s="98">
        <v>108</v>
      </c>
      <c r="L316" s="98">
        <v>116</v>
      </c>
      <c r="M316" s="98">
        <v>113</v>
      </c>
      <c r="N316" s="98">
        <v>116</v>
      </c>
      <c r="O316" s="98">
        <v>136</v>
      </c>
      <c r="P316" s="98">
        <v>134</v>
      </c>
      <c r="Q316" s="98">
        <v>141</v>
      </c>
      <c r="R316" s="98">
        <v>151</v>
      </c>
      <c r="S316" s="98">
        <v>141</v>
      </c>
      <c r="T316" s="98">
        <v>135</v>
      </c>
      <c r="U316" s="98">
        <v>134</v>
      </c>
      <c r="V316" s="98">
        <v>137</v>
      </c>
      <c r="W316" s="98">
        <v>133</v>
      </c>
      <c r="X316" s="98">
        <v>129</v>
      </c>
      <c r="Y316" s="98">
        <v>108</v>
      </c>
      <c r="Z316" s="98">
        <v>96</v>
      </c>
      <c r="AA316" s="98">
        <v>87</v>
      </c>
      <c r="AB316" s="98">
        <v>83</v>
      </c>
      <c r="AC316" s="98">
        <v>73</v>
      </c>
      <c r="AD316" s="98">
        <v>66</v>
      </c>
      <c r="AE316" s="98">
        <v>66</v>
      </c>
      <c r="AF316" s="98">
        <v>66</v>
      </c>
      <c r="AG316" s="98">
        <v>68</v>
      </c>
    </row>
    <row r="317" spans="1:33" x14ac:dyDescent="0.3">
      <c r="A317" s="7">
        <v>312</v>
      </c>
      <c r="B317" s="7" t="s">
        <v>689</v>
      </c>
      <c r="C317" s="7" t="s">
        <v>453</v>
      </c>
      <c r="D317" s="8">
        <f>'CDC Source Data'!D445</f>
        <v>542090</v>
      </c>
      <c r="E317" s="8">
        <f>'CDC Source Data'!E445</f>
        <v>92</v>
      </c>
      <c r="F317" s="31">
        <f t="shared" si="4"/>
        <v>17.030015402146283</v>
      </c>
      <c r="G317" s="9">
        <f>'CDC Source Data'!F445</f>
        <v>0.02</v>
      </c>
      <c r="H317" s="7">
        <f>'CDC Source Data'!G445</f>
        <v>0</v>
      </c>
      <c r="I317" s="97">
        <v>28.4</v>
      </c>
      <c r="J317" s="97">
        <v>29.7</v>
      </c>
      <c r="K317" s="98">
        <v>183</v>
      </c>
      <c r="L317" s="98">
        <v>189</v>
      </c>
      <c r="M317" s="98">
        <v>190</v>
      </c>
      <c r="N317" s="98">
        <v>194</v>
      </c>
      <c r="O317" s="98">
        <v>203</v>
      </c>
      <c r="P317" s="98">
        <v>191</v>
      </c>
      <c r="Q317" s="98">
        <v>199</v>
      </c>
      <c r="R317" s="98">
        <v>187</v>
      </c>
      <c r="S317" s="98">
        <v>189</v>
      </c>
      <c r="T317" s="98">
        <v>198</v>
      </c>
      <c r="U317" s="98">
        <v>204</v>
      </c>
      <c r="V317" s="98">
        <v>216</v>
      </c>
      <c r="W317" s="98">
        <v>217</v>
      </c>
      <c r="X317" s="98">
        <v>215</v>
      </c>
      <c r="Y317" s="98">
        <v>195</v>
      </c>
      <c r="Z317" s="98">
        <v>173</v>
      </c>
      <c r="AA317" s="98">
        <v>160</v>
      </c>
      <c r="AB317" s="98">
        <v>151</v>
      </c>
      <c r="AC317" s="98">
        <v>140</v>
      </c>
      <c r="AD317" s="98">
        <v>122</v>
      </c>
      <c r="AE317" s="98">
        <v>111</v>
      </c>
      <c r="AF317" s="98">
        <v>95</v>
      </c>
      <c r="AG317" s="98">
        <v>92</v>
      </c>
    </row>
    <row r="318" spans="1:33" x14ac:dyDescent="0.3">
      <c r="A318" s="7">
        <v>313</v>
      </c>
      <c r="B318" s="7" t="s">
        <v>690</v>
      </c>
      <c r="C318" s="7" t="s">
        <v>262</v>
      </c>
      <c r="D318" s="8">
        <f>'CDC Source Data'!D279</f>
        <v>106410</v>
      </c>
      <c r="E318" s="8">
        <f>'CDC Source Data'!E279</f>
        <v>18</v>
      </c>
      <c r="F318" s="31">
        <f t="shared" si="4"/>
        <v>16.971351620579608</v>
      </c>
      <c r="G318" s="9">
        <f>'CDC Source Data'!F279</f>
        <v>0</v>
      </c>
      <c r="H318" s="7">
        <f>'CDC Source Data'!G279</f>
        <v>0</v>
      </c>
      <c r="I318" s="97">
        <v>22.8</v>
      </c>
      <c r="J318" s="97">
        <v>23.8</v>
      </c>
      <c r="K318" s="98">
        <v>34</v>
      </c>
      <c r="L318" s="98">
        <v>38</v>
      </c>
      <c r="M318" s="98">
        <v>41</v>
      </c>
      <c r="N318" s="98">
        <v>45</v>
      </c>
      <c r="O318" s="98">
        <v>43</v>
      </c>
      <c r="P318" s="98">
        <v>42</v>
      </c>
      <c r="Q318" s="98">
        <v>40</v>
      </c>
      <c r="R318" s="98">
        <v>38</v>
      </c>
      <c r="S318" s="98">
        <v>40</v>
      </c>
      <c r="T318" s="98">
        <v>40</v>
      </c>
      <c r="U318" s="98">
        <v>44</v>
      </c>
      <c r="V318" s="98">
        <v>48</v>
      </c>
      <c r="W318" s="98">
        <v>51</v>
      </c>
      <c r="X318" s="98">
        <v>48</v>
      </c>
      <c r="Y318" s="98">
        <v>42</v>
      </c>
      <c r="Z318" s="98">
        <v>36</v>
      </c>
      <c r="AA318" s="98">
        <v>32</v>
      </c>
      <c r="AB318" s="98">
        <v>29</v>
      </c>
      <c r="AC318" s="98">
        <v>23</v>
      </c>
      <c r="AD318" s="98">
        <v>19</v>
      </c>
      <c r="AE318" s="98">
        <v>15</v>
      </c>
      <c r="AF318" s="98">
        <v>17</v>
      </c>
      <c r="AG318" s="98">
        <v>18</v>
      </c>
    </row>
    <row r="319" spans="1:33" x14ac:dyDescent="0.3">
      <c r="A319" s="7">
        <v>314</v>
      </c>
      <c r="B319" s="7" t="s">
        <v>518</v>
      </c>
      <c r="C319" s="7" t="s">
        <v>32</v>
      </c>
      <c r="D319" s="8">
        <f>'CDC Source Data'!D543</f>
        <v>1535909</v>
      </c>
      <c r="E319" s="8">
        <f>'CDC Source Data'!E543</f>
        <v>259</v>
      </c>
      <c r="F319" s="31">
        <f t="shared" si="4"/>
        <v>16.915703411333521</v>
      </c>
      <c r="G319" s="9">
        <f>'CDC Source Data'!F543</f>
        <v>0.37</v>
      </c>
      <c r="H319" s="7" t="str">
        <f>'CDC Source Data'!G543</f>
        <v>Completeness of provisional 2019 data under 90% after 6 months.</v>
      </c>
      <c r="I319" s="97">
        <v>22.4</v>
      </c>
      <c r="J319" s="97">
        <v>23.4</v>
      </c>
      <c r="K319" s="98">
        <v>342</v>
      </c>
      <c r="L319" s="98">
        <v>404</v>
      </c>
      <c r="M319" s="98">
        <v>408</v>
      </c>
      <c r="N319" s="98">
        <v>422</v>
      </c>
      <c r="O319" s="98">
        <v>426</v>
      </c>
      <c r="P319" s="98">
        <v>421</v>
      </c>
      <c r="Q319" s="98">
        <v>491</v>
      </c>
      <c r="R319" s="98">
        <v>545</v>
      </c>
      <c r="S319" s="98">
        <v>547</v>
      </c>
      <c r="T319" s="98">
        <v>565</v>
      </c>
      <c r="U319" s="98">
        <v>537</v>
      </c>
      <c r="V319" s="98">
        <v>549</v>
      </c>
      <c r="W319" s="98">
        <v>584</v>
      </c>
      <c r="X319" s="98">
        <v>555</v>
      </c>
      <c r="Y319" s="98">
        <v>528</v>
      </c>
      <c r="Z319" s="98">
        <v>500</v>
      </c>
      <c r="AA319" s="98">
        <v>454</v>
      </c>
      <c r="AB319" s="98">
        <v>413</v>
      </c>
      <c r="AC319" s="98">
        <v>381</v>
      </c>
      <c r="AD319" s="98">
        <v>341</v>
      </c>
      <c r="AE319" s="98">
        <v>301</v>
      </c>
      <c r="AF319" s="98">
        <v>278</v>
      </c>
      <c r="AG319" s="98">
        <v>259</v>
      </c>
    </row>
    <row r="320" spans="1:33" x14ac:dyDescent="0.3">
      <c r="A320" s="7">
        <v>315</v>
      </c>
      <c r="B320" s="7" t="s">
        <v>691</v>
      </c>
      <c r="C320" s="7" t="s">
        <v>50</v>
      </c>
      <c r="D320" s="8">
        <f>'CDC Source Data'!D496</f>
        <v>207653</v>
      </c>
      <c r="E320" s="8">
        <f>'CDC Source Data'!E496</f>
        <v>35</v>
      </c>
      <c r="F320" s="31">
        <f t="shared" si="4"/>
        <v>16.862978210297616</v>
      </c>
      <c r="G320" s="9">
        <f>'CDC Source Data'!F496</f>
        <v>0.4</v>
      </c>
      <c r="H320" s="7">
        <f>'CDC Source Data'!G496</f>
        <v>0</v>
      </c>
      <c r="I320" s="97">
        <v>22.1</v>
      </c>
      <c r="J320" s="97">
        <v>23.1</v>
      </c>
      <c r="K320" s="98">
        <v>44</v>
      </c>
      <c r="L320" s="98">
        <v>45</v>
      </c>
      <c r="M320" s="98">
        <v>53</v>
      </c>
      <c r="N320" s="98">
        <v>60</v>
      </c>
      <c r="O320" s="98">
        <v>60</v>
      </c>
      <c r="P320" s="98">
        <v>60</v>
      </c>
      <c r="Q320" s="98">
        <v>58</v>
      </c>
      <c r="R320" s="98">
        <v>69</v>
      </c>
      <c r="S320" s="98">
        <v>71</v>
      </c>
      <c r="T320" s="98">
        <v>76</v>
      </c>
      <c r="U320" s="98">
        <v>83</v>
      </c>
      <c r="V320" s="98">
        <v>70</v>
      </c>
      <c r="W320" s="98">
        <v>64</v>
      </c>
      <c r="X320" s="98">
        <v>56</v>
      </c>
      <c r="Y320" s="98">
        <v>55</v>
      </c>
      <c r="Z320" s="98">
        <v>56</v>
      </c>
      <c r="AA320" s="98">
        <v>52</v>
      </c>
      <c r="AB320" s="98">
        <v>47</v>
      </c>
      <c r="AC320" s="98">
        <v>38</v>
      </c>
      <c r="AD320" s="98">
        <v>31</v>
      </c>
      <c r="AE320" s="98">
        <v>30</v>
      </c>
      <c r="AF320" s="98">
        <v>35</v>
      </c>
      <c r="AG320" s="98">
        <v>35</v>
      </c>
    </row>
    <row r="321" spans="1:33" x14ac:dyDescent="0.3">
      <c r="A321" s="7">
        <v>316</v>
      </c>
      <c r="B321" s="7" t="s">
        <v>256</v>
      </c>
      <c r="C321" s="7" t="s">
        <v>480</v>
      </c>
      <c r="D321" s="8">
        <f>'CDC Source Data'!D260</f>
        <v>160233</v>
      </c>
      <c r="E321" s="8">
        <f>'CDC Source Data'!E260</f>
        <v>27</v>
      </c>
      <c r="F321" s="31">
        <f t="shared" si="4"/>
        <v>16.855041824582354</v>
      </c>
      <c r="G321" s="9">
        <f>'CDC Source Data'!F260</f>
        <v>0.53</v>
      </c>
      <c r="H321" s="7">
        <f>'CDC Source Data'!G260</f>
        <v>0</v>
      </c>
      <c r="I321" s="97">
        <v>11.8</v>
      </c>
      <c r="J321" s="97">
        <v>12.3</v>
      </c>
      <c r="K321" s="98">
        <v>17</v>
      </c>
      <c r="L321" s="98">
        <v>16</v>
      </c>
      <c r="M321" s="98">
        <v>16</v>
      </c>
      <c r="N321" s="98">
        <v>18</v>
      </c>
      <c r="O321" s="98">
        <v>23</v>
      </c>
      <c r="P321" s="98">
        <v>37</v>
      </c>
      <c r="Q321" s="98">
        <v>48</v>
      </c>
      <c r="R321" s="98">
        <v>56</v>
      </c>
      <c r="S321" s="98">
        <v>57</v>
      </c>
      <c r="T321" s="98">
        <v>55</v>
      </c>
      <c r="U321" s="98">
        <v>53</v>
      </c>
      <c r="V321" s="98">
        <v>44</v>
      </c>
      <c r="W321" s="98">
        <v>44</v>
      </c>
      <c r="X321" s="98">
        <v>39</v>
      </c>
      <c r="Y321" s="98">
        <v>36</v>
      </c>
      <c r="Z321" s="98">
        <v>43</v>
      </c>
      <c r="AA321" s="98">
        <v>32</v>
      </c>
      <c r="AB321" s="98">
        <v>34</v>
      </c>
      <c r="AC321" s="98">
        <v>30</v>
      </c>
      <c r="AD321" s="98">
        <v>23</v>
      </c>
      <c r="AE321" s="98">
        <v>31</v>
      </c>
      <c r="AF321" s="98">
        <v>26</v>
      </c>
      <c r="AG321" s="98">
        <v>27</v>
      </c>
    </row>
    <row r="322" spans="1:33" x14ac:dyDescent="0.3">
      <c r="A322" s="7">
        <v>317</v>
      </c>
      <c r="B322" s="7" t="s">
        <v>692</v>
      </c>
      <c r="C322" s="7" t="s">
        <v>604</v>
      </c>
      <c r="D322" s="8">
        <f>'CDC Source Data'!D253</f>
        <v>118729</v>
      </c>
      <c r="E322" s="8">
        <f>'CDC Source Data'!E253</f>
        <v>20</v>
      </c>
      <c r="F322" s="31">
        <f t="shared" si="4"/>
        <v>16.850461515418171</v>
      </c>
      <c r="G322" s="9">
        <f>'CDC Source Data'!F253</f>
        <v>0.08</v>
      </c>
      <c r="H322" s="7">
        <f>'CDC Source Data'!G253</f>
        <v>0</v>
      </c>
      <c r="I322" s="97">
        <v>14.3</v>
      </c>
      <c r="J322" s="97">
        <v>14.9</v>
      </c>
      <c r="K322" s="98">
        <v>15</v>
      </c>
      <c r="L322" s="98">
        <v>16</v>
      </c>
      <c r="M322" s="98">
        <v>18</v>
      </c>
      <c r="N322" s="98">
        <v>17</v>
      </c>
      <c r="O322" s="98">
        <v>14</v>
      </c>
      <c r="P322" s="98">
        <v>13</v>
      </c>
      <c r="Q322" s="100"/>
      <c r="R322" s="100"/>
      <c r="S322" s="98">
        <v>11</v>
      </c>
      <c r="T322" s="98">
        <v>12</v>
      </c>
      <c r="U322" s="98">
        <v>16</v>
      </c>
      <c r="V322" s="98">
        <v>25</v>
      </c>
      <c r="W322" s="98">
        <v>25</v>
      </c>
      <c r="X322" s="98">
        <v>31</v>
      </c>
      <c r="Y322" s="98">
        <v>30</v>
      </c>
      <c r="Z322" s="98">
        <v>22</v>
      </c>
      <c r="AA322" s="98">
        <v>20</v>
      </c>
      <c r="AB322" s="98">
        <v>16</v>
      </c>
      <c r="AC322" s="98">
        <v>16</v>
      </c>
      <c r="AD322" s="98">
        <v>18</v>
      </c>
      <c r="AE322" s="98">
        <v>16</v>
      </c>
      <c r="AF322" s="98">
        <v>14</v>
      </c>
      <c r="AG322" s="98">
        <v>20</v>
      </c>
    </row>
    <row r="323" spans="1:33" x14ac:dyDescent="0.3">
      <c r="A323" s="7">
        <v>318</v>
      </c>
      <c r="B323" s="7" t="s">
        <v>524</v>
      </c>
      <c r="C323" s="7" t="s">
        <v>480</v>
      </c>
      <c r="D323" s="8">
        <f>'CDC Source Data'!D527</f>
        <v>160308</v>
      </c>
      <c r="E323" s="8">
        <f>'CDC Source Data'!E527</f>
        <v>27</v>
      </c>
      <c r="F323" s="31">
        <f t="shared" si="4"/>
        <v>16.845084183308206</v>
      </c>
      <c r="G323" s="9">
        <f>'CDC Source Data'!F527</f>
        <v>0.15</v>
      </c>
      <c r="H323" s="7" t="str">
        <f>'CDC Source Data'!G527</f>
        <v>Completeness of provisional 2019 data under 90% after 6 months.</v>
      </c>
      <c r="I323" s="97">
        <v>32.9</v>
      </c>
      <c r="J323" s="97">
        <v>34.299999999999997</v>
      </c>
      <c r="K323" s="98">
        <v>51</v>
      </c>
      <c r="L323" s="98">
        <v>61</v>
      </c>
      <c r="M323" s="98">
        <v>56</v>
      </c>
      <c r="N323" s="98">
        <v>58</v>
      </c>
      <c r="O323" s="98">
        <v>65</v>
      </c>
      <c r="P323" s="98">
        <v>61</v>
      </c>
      <c r="Q323" s="98">
        <v>67</v>
      </c>
      <c r="R323" s="98">
        <v>65</v>
      </c>
      <c r="S323" s="98">
        <v>62</v>
      </c>
      <c r="T323" s="98">
        <v>50</v>
      </c>
      <c r="U323" s="98">
        <v>44</v>
      </c>
      <c r="V323" s="98">
        <v>41</v>
      </c>
      <c r="W323" s="98">
        <v>43</v>
      </c>
      <c r="X323" s="98">
        <v>49</v>
      </c>
      <c r="Y323" s="98">
        <v>59</v>
      </c>
      <c r="Z323" s="98">
        <v>56</v>
      </c>
      <c r="AA323" s="98">
        <v>47</v>
      </c>
      <c r="AB323" s="98">
        <v>41</v>
      </c>
      <c r="AC323" s="98">
        <v>26</v>
      </c>
      <c r="AD323" s="98">
        <v>26</v>
      </c>
      <c r="AE323" s="98">
        <v>24</v>
      </c>
      <c r="AF323" s="98">
        <v>29</v>
      </c>
      <c r="AG323" s="98">
        <v>27</v>
      </c>
    </row>
    <row r="324" spans="1:33" x14ac:dyDescent="0.3">
      <c r="A324" s="7">
        <v>319</v>
      </c>
      <c r="B324" s="7" t="s">
        <v>616</v>
      </c>
      <c r="C324" s="7" t="s">
        <v>447</v>
      </c>
      <c r="D324" s="8">
        <f>'CDC Source Data'!D465</f>
        <v>124853</v>
      </c>
      <c r="E324" s="8">
        <f>'CDC Source Data'!E465</f>
        <v>21</v>
      </c>
      <c r="F324" s="31">
        <f t="shared" si="4"/>
        <v>16.842578037278237</v>
      </c>
      <c r="G324" s="9">
        <f>'CDC Source Data'!F465</f>
        <v>0</v>
      </c>
      <c r="H324" s="7">
        <f>'CDC Source Data'!G465</f>
        <v>0</v>
      </c>
      <c r="I324" s="97">
        <v>33.200000000000003</v>
      </c>
      <c r="J324" s="97">
        <v>34.700000000000003</v>
      </c>
      <c r="K324" s="98">
        <v>47</v>
      </c>
      <c r="L324" s="98">
        <v>55</v>
      </c>
      <c r="M324" s="98">
        <v>61</v>
      </c>
      <c r="N324" s="98">
        <v>63</v>
      </c>
      <c r="O324" s="98">
        <v>75</v>
      </c>
      <c r="P324" s="98">
        <v>75</v>
      </c>
      <c r="Q324" s="98">
        <v>74</v>
      </c>
      <c r="R324" s="98">
        <v>85</v>
      </c>
      <c r="S324" s="98">
        <v>82</v>
      </c>
      <c r="T324" s="98">
        <v>81</v>
      </c>
      <c r="U324" s="98">
        <v>82</v>
      </c>
      <c r="V324" s="98">
        <v>67</v>
      </c>
      <c r="W324" s="98">
        <v>60</v>
      </c>
      <c r="X324" s="98">
        <v>53</v>
      </c>
      <c r="Y324" s="98">
        <v>49</v>
      </c>
      <c r="Z324" s="98">
        <v>39</v>
      </c>
      <c r="AA324" s="98">
        <v>45</v>
      </c>
      <c r="AB324" s="98">
        <v>49</v>
      </c>
      <c r="AC324" s="98">
        <v>47</v>
      </c>
      <c r="AD324" s="98">
        <v>50</v>
      </c>
      <c r="AE324" s="98">
        <v>35</v>
      </c>
      <c r="AF324" s="98">
        <v>29</v>
      </c>
      <c r="AG324" s="98">
        <v>21</v>
      </c>
    </row>
    <row r="325" spans="1:33" x14ac:dyDescent="0.3">
      <c r="A325" s="7">
        <v>320</v>
      </c>
      <c r="B325" s="7" t="s">
        <v>693</v>
      </c>
      <c r="C325" s="7" t="s">
        <v>32</v>
      </c>
      <c r="D325" s="8">
        <f>'CDC Source Data'!D415</f>
        <v>469812</v>
      </c>
      <c r="E325" s="8">
        <f>'CDC Source Data'!E415</f>
        <v>79</v>
      </c>
      <c r="F325" s="31">
        <f t="shared" si="4"/>
        <v>16.819780061352152</v>
      </c>
      <c r="G325" s="9">
        <f>'CDC Source Data'!F415</f>
        <v>0.63</v>
      </c>
      <c r="H325" s="7">
        <f>'CDC Source Data'!G415</f>
        <v>0</v>
      </c>
      <c r="I325" s="97">
        <v>20.8</v>
      </c>
      <c r="J325" s="97">
        <v>21.7</v>
      </c>
      <c r="K325" s="98">
        <v>145</v>
      </c>
      <c r="L325" s="98">
        <v>156</v>
      </c>
      <c r="M325" s="98">
        <v>146</v>
      </c>
      <c r="N325" s="98">
        <v>155</v>
      </c>
      <c r="O325" s="98">
        <v>163</v>
      </c>
      <c r="P325" s="98">
        <v>168</v>
      </c>
      <c r="Q325" s="98">
        <v>187</v>
      </c>
      <c r="R325" s="98">
        <v>195</v>
      </c>
      <c r="S325" s="98">
        <v>185</v>
      </c>
      <c r="T325" s="98">
        <v>173</v>
      </c>
      <c r="U325" s="98">
        <v>171</v>
      </c>
      <c r="V325" s="98">
        <v>178</v>
      </c>
      <c r="W325" s="98">
        <v>187</v>
      </c>
      <c r="X325" s="98">
        <v>194</v>
      </c>
      <c r="Y325" s="98">
        <v>199</v>
      </c>
      <c r="Z325" s="98">
        <v>197</v>
      </c>
      <c r="AA325" s="98">
        <v>189</v>
      </c>
      <c r="AB325" s="98">
        <v>186</v>
      </c>
      <c r="AC325" s="98">
        <v>152</v>
      </c>
      <c r="AD325" s="98">
        <v>122</v>
      </c>
      <c r="AE325" s="98">
        <v>104</v>
      </c>
      <c r="AF325" s="98">
        <v>92</v>
      </c>
      <c r="AG325" s="98">
        <v>79</v>
      </c>
    </row>
    <row r="326" spans="1:33" x14ac:dyDescent="0.3">
      <c r="A326" s="7">
        <v>321</v>
      </c>
      <c r="B326" s="7" t="s">
        <v>694</v>
      </c>
      <c r="C326" s="7" t="s">
        <v>35</v>
      </c>
      <c r="D326" s="8">
        <f>'CDC Source Data'!D529</f>
        <v>273744</v>
      </c>
      <c r="E326" s="8">
        <f>'CDC Source Data'!E529</f>
        <v>46</v>
      </c>
      <c r="F326" s="31">
        <f t="shared" ref="F326:F389" si="5">IFERROR(E325/D325*100000,"")</f>
        <v>16.815236732991067</v>
      </c>
      <c r="G326" s="9">
        <f>'CDC Source Data'!F529</f>
        <v>0</v>
      </c>
      <c r="H326" s="7">
        <f>'CDC Source Data'!G529</f>
        <v>0</v>
      </c>
      <c r="I326" s="97">
        <v>20</v>
      </c>
      <c r="J326" s="97">
        <v>20.8</v>
      </c>
      <c r="K326" s="98">
        <v>52</v>
      </c>
      <c r="L326" s="98">
        <v>62</v>
      </c>
      <c r="M326" s="98">
        <v>77</v>
      </c>
      <c r="N326" s="98">
        <v>87</v>
      </c>
      <c r="O326" s="98">
        <v>91</v>
      </c>
      <c r="P326" s="98">
        <v>89</v>
      </c>
      <c r="Q326" s="98">
        <v>86</v>
      </c>
      <c r="R326" s="98">
        <v>95</v>
      </c>
      <c r="S326" s="98">
        <v>97</v>
      </c>
      <c r="T326" s="98">
        <v>99</v>
      </c>
      <c r="U326" s="98">
        <v>102</v>
      </c>
      <c r="V326" s="98">
        <v>94</v>
      </c>
      <c r="W326" s="98">
        <v>97</v>
      </c>
      <c r="X326" s="98">
        <v>91</v>
      </c>
      <c r="Y326" s="98">
        <v>93</v>
      </c>
      <c r="Z326" s="98">
        <v>88</v>
      </c>
      <c r="AA326" s="98">
        <v>82</v>
      </c>
      <c r="AB326" s="98">
        <v>87</v>
      </c>
      <c r="AC326" s="98">
        <v>76</v>
      </c>
      <c r="AD326" s="98">
        <v>74</v>
      </c>
      <c r="AE326" s="98">
        <v>59</v>
      </c>
      <c r="AF326" s="98">
        <v>60</v>
      </c>
      <c r="AG326" s="98">
        <v>46</v>
      </c>
    </row>
    <row r="327" spans="1:33" x14ac:dyDescent="0.3">
      <c r="A327" s="7">
        <v>322</v>
      </c>
      <c r="B327" s="7" t="s">
        <v>695</v>
      </c>
      <c r="C327" s="7" t="s">
        <v>696</v>
      </c>
      <c r="D327" s="8">
        <f>'CDC Source Data'!D308</f>
        <v>101783</v>
      </c>
      <c r="E327" s="8">
        <f>'CDC Source Data'!E308</f>
        <v>17</v>
      </c>
      <c r="F327" s="31">
        <f t="shared" si="5"/>
        <v>16.804021275352152</v>
      </c>
      <c r="G327" s="9">
        <f>'CDC Source Data'!F308</f>
        <v>0</v>
      </c>
      <c r="H327" s="7">
        <f>'CDC Source Data'!G308</f>
        <v>0</v>
      </c>
      <c r="I327" s="97">
        <v>19</v>
      </c>
      <c r="J327" s="97">
        <v>19.899999999999999</v>
      </c>
      <c r="K327" s="98">
        <v>18</v>
      </c>
      <c r="L327" s="98">
        <v>19</v>
      </c>
      <c r="M327" s="98">
        <v>21</v>
      </c>
      <c r="N327" s="98">
        <v>17</v>
      </c>
      <c r="O327" s="98">
        <v>17</v>
      </c>
      <c r="P327" s="98">
        <v>22</v>
      </c>
      <c r="Q327" s="98">
        <v>27</v>
      </c>
      <c r="R327" s="98">
        <v>27</v>
      </c>
      <c r="S327" s="98">
        <v>32</v>
      </c>
      <c r="T327" s="98">
        <v>24</v>
      </c>
      <c r="U327" s="98">
        <v>23</v>
      </c>
      <c r="V327" s="98">
        <v>24</v>
      </c>
      <c r="W327" s="98">
        <v>27</v>
      </c>
      <c r="X327" s="98">
        <v>31</v>
      </c>
      <c r="Y327" s="98">
        <v>32</v>
      </c>
      <c r="Z327" s="98">
        <v>34</v>
      </c>
      <c r="AA327" s="98">
        <v>31</v>
      </c>
      <c r="AB327" s="98">
        <v>35</v>
      </c>
      <c r="AC327" s="98">
        <v>30</v>
      </c>
      <c r="AD327" s="98">
        <v>29</v>
      </c>
      <c r="AE327" s="98">
        <v>24</v>
      </c>
      <c r="AF327" s="98">
        <v>16</v>
      </c>
      <c r="AG327" s="98">
        <v>17</v>
      </c>
    </row>
    <row r="328" spans="1:33" x14ac:dyDescent="0.3">
      <c r="A328" s="7">
        <v>323</v>
      </c>
      <c r="B328" s="7" t="s">
        <v>697</v>
      </c>
      <c r="C328" s="7" t="s">
        <v>480</v>
      </c>
      <c r="D328" s="8">
        <f>'CDC Source Data'!D332</f>
        <v>886175</v>
      </c>
      <c r="E328" s="8">
        <f>'CDC Source Data'!E332</f>
        <v>148</v>
      </c>
      <c r="F328" s="31">
        <f t="shared" si="5"/>
        <v>16.702199777958992</v>
      </c>
      <c r="G328" s="9">
        <f>'CDC Source Data'!F332</f>
        <v>0.34</v>
      </c>
      <c r="H328" s="7" t="str">
        <f>'CDC Source Data'!G332</f>
        <v>Completeness of provisional 2019 data under 90% after 6 months.</v>
      </c>
      <c r="I328" s="97">
        <v>34.1</v>
      </c>
      <c r="J328" s="97">
        <v>35.6</v>
      </c>
      <c r="K328" s="98">
        <v>279</v>
      </c>
      <c r="L328" s="98">
        <v>305</v>
      </c>
      <c r="M328" s="98">
        <v>342</v>
      </c>
      <c r="N328" s="98">
        <v>326</v>
      </c>
      <c r="O328" s="98">
        <v>333</v>
      </c>
      <c r="P328" s="98">
        <v>311</v>
      </c>
      <c r="Q328" s="98">
        <v>299</v>
      </c>
      <c r="R328" s="98">
        <v>314</v>
      </c>
      <c r="S328" s="98">
        <v>331</v>
      </c>
      <c r="T328" s="98">
        <v>331</v>
      </c>
      <c r="U328" s="98">
        <v>319</v>
      </c>
      <c r="V328" s="98">
        <v>311</v>
      </c>
      <c r="W328" s="98">
        <v>280</v>
      </c>
      <c r="X328" s="98">
        <v>271</v>
      </c>
      <c r="Y328" s="98">
        <v>248</v>
      </c>
      <c r="Z328" s="98">
        <v>238</v>
      </c>
      <c r="AA328" s="98">
        <v>228</v>
      </c>
      <c r="AB328" s="98">
        <v>220</v>
      </c>
      <c r="AC328" s="98">
        <v>220</v>
      </c>
      <c r="AD328" s="98">
        <v>198</v>
      </c>
      <c r="AE328" s="98">
        <v>176</v>
      </c>
      <c r="AF328" s="98">
        <v>152</v>
      </c>
      <c r="AG328" s="98">
        <v>148</v>
      </c>
    </row>
    <row r="329" spans="1:33" x14ac:dyDescent="0.3">
      <c r="A329" s="7">
        <v>324</v>
      </c>
      <c r="B329" s="7" t="s">
        <v>698</v>
      </c>
      <c r="C329" s="7" t="s">
        <v>38</v>
      </c>
      <c r="D329" s="8">
        <f>'CDC Source Data'!D457</f>
        <v>198651</v>
      </c>
      <c r="E329" s="8">
        <f>'CDC Source Data'!E457</f>
        <v>33</v>
      </c>
      <c r="F329" s="31">
        <f t="shared" si="5"/>
        <v>16.700990210737157</v>
      </c>
      <c r="G329" s="9">
        <f>'CDC Source Data'!F457</f>
        <v>0.14000000000000001</v>
      </c>
      <c r="H329" s="7">
        <f>'CDC Source Data'!G457</f>
        <v>0</v>
      </c>
      <c r="I329" s="97">
        <v>20.6</v>
      </c>
      <c r="J329" s="97">
        <v>21.5</v>
      </c>
      <c r="K329" s="98">
        <v>42</v>
      </c>
      <c r="L329" s="98">
        <v>48</v>
      </c>
      <c r="M329" s="98">
        <v>56</v>
      </c>
      <c r="N329" s="98">
        <v>64</v>
      </c>
      <c r="O329" s="98">
        <v>56</v>
      </c>
      <c r="P329" s="98">
        <v>59</v>
      </c>
      <c r="Q329" s="98">
        <v>64</v>
      </c>
      <c r="R329" s="98">
        <v>61</v>
      </c>
      <c r="S329" s="98">
        <v>73</v>
      </c>
      <c r="T329" s="98">
        <v>63</v>
      </c>
      <c r="U329" s="98">
        <v>52</v>
      </c>
      <c r="V329" s="98">
        <v>50</v>
      </c>
      <c r="W329" s="98">
        <v>63</v>
      </c>
      <c r="X329" s="98">
        <v>66</v>
      </c>
      <c r="Y329" s="98">
        <v>73</v>
      </c>
      <c r="Z329" s="98">
        <v>76</v>
      </c>
      <c r="AA329" s="98">
        <v>63</v>
      </c>
      <c r="AB329" s="98">
        <v>58</v>
      </c>
      <c r="AC329" s="98">
        <v>60</v>
      </c>
      <c r="AD329" s="98">
        <v>53</v>
      </c>
      <c r="AE329" s="98">
        <v>49</v>
      </c>
      <c r="AF329" s="98">
        <v>46</v>
      </c>
      <c r="AG329" s="98">
        <v>33</v>
      </c>
    </row>
    <row r="330" spans="1:33" x14ac:dyDescent="0.3">
      <c r="A330" s="7">
        <v>325</v>
      </c>
      <c r="B330" s="7" t="s">
        <v>699</v>
      </c>
      <c r="C330" s="7" t="s">
        <v>604</v>
      </c>
      <c r="D330" s="8">
        <f>'CDC Source Data'!D211</f>
        <v>150532</v>
      </c>
      <c r="E330" s="8">
        <f>'CDC Source Data'!E211</f>
        <v>25</v>
      </c>
      <c r="F330" s="31">
        <f t="shared" si="5"/>
        <v>16.612048265551142</v>
      </c>
      <c r="G330" s="9">
        <f>'CDC Source Data'!F211</f>
        <v>0</v>
      </c>
      <c r="H330" s="7" t="str">
        <f>'CDC Source Data'!G211</f>
        <v>Completeness of provisional 2019 data under 90% after 6 months.</v>
      </c>
      <c r="I330" s="97">
        <v>15.4</v>
      </c>
      <c r="J330" s="97">
        <v>16</v>
      </c>
      <c r="K330" s="98">
        <v>14</v>
      </c>
      <c r="L330" s="98">
        <v>17</v>
      </c>
      <c r="M330" s="98">
        <v>14</v>
      </c>
      <c r="N330" s="98">
        <v>16</v>
      </c>
      <c r="O330" s="98">
        <v>20</v>
      </c>
      <c r="P330" s="98">
        <v>19</v>
      </c>
      <c r="Q330" s="98">
        <v>22</v>
      </c>
      <c r="R330" s="98">
        <v>25</v>
      </c>
      <c r="S330" s="98">
        <v>22</v>
      </c>
      <c r="T330" s="98">
        <v>28</v>
      </c>
      <c r="U330" s="98">
        <v>24</v>
      </c>
      <c r="V330" s="98">
        <v>25</v>
      </c>
      <c r="W330" s="98">
        <v>25</v>
      </c>
      <c r="X330" s="98">
        <v>26</v>
      </c>
      <c r="Y330" s="98">
        <v>30</v>
      </c>
      <c r="Z330" s="98">
        <v>28</v>
      </c>
      <c r="AA330" s="98">
        <v>30</v>
      </c>
      <c r="AB330" s="98">
        <v>25</v>
      </c>
      <c r="AC330" s="98">
        <v>26</v>
      </c>
      <c r="AD330" s="98">
        <v>22</v>
      </c>
      <c r="AE330" s="98">
        <v>28</v>
      </c>
      <c r="AF330" s="98">
        <v>26</v>
      </c>
      <c r="AG330" s="98">
        <v>25</v>
      </c>
    </row>
    <row r="331" spans="1:33" x14ac:dyDescent="0.3">
      <c r="A331" s="7">
        <v>326</v>
      </c>
      <c r="B331" s="7" t="s">
        <v>700</v>
      </c>
      <c r="C331" s="7" t="s">
        <v>38</v>
      </c>
      <c r="D331" s="8">
        <f>'CDC Source Data'!D283</f>
        <v>168754</v>
      </c>
      <c r="E331" s="8">
        <f>'CDC Source Data'!E283</f>
        <v>28</v>
      </c>
      <c r="F331" s="31">
        <f t="shared" si="5"/>
        <v>16.607764462041295</v>
      </c>
      <c r="G331" s="9">
        <f>'CDC Source Data'!F283</f>
        <v>0.06</v>
      </c>
      <c r="H331" s="7">
        <f>'CDC Source Data'!G283</f>
        <v>0</v>
      </c>
      <c r="I331" s="97">
        <v>28.7</v>
      </c>
      <c r="J331" s="97">
        <v>30</v>
      </c>
      <c r="K331" s="98">
        <v>32</v>
      </c>
      <c r="L331" s="98">
        <v>41</v>
      </c>
      <c r="M331" s="98">
        <v>52</v>
      </c>
      <c r="N331" s="98">
        <v>58</v>
      </c>
      <c r="O331" s="98">
        <v>59</v>
      </c>
      <c r="P331" s="98">
        <v>58</v>
      </c>
      <c r="Q331" s="98">
        <v>46</v>
      </c>
      <c r="R331" s="98">
        <v>52</v>
      </c>
      <c r="S331" s="98">
        <v>56</v>
      </c>
      <c r="T331" s="98">
        <v>53</v>
      </c>
      <c r="U331" s="98">
        <v>66</v>
      </c>
      <c r="V331" s="98">
        <v>54</v>
      </c>
      <c r="W331" s="98">
        <v>49</v>
      </c>
      <c r="X331" s="98">
        <v>56</v>
      </c>
      <c r="Y331" s="98">
        <v>52</v>
      </c>
      <c r="Z331" s="98">
        <v>57</v>
      </c>
      <c r="AA331" s="98">
        <v>56</v>
      </c>
      <c r="AB331" s="98">
        <v>45</v>
      </c>
      <c r="AC331" s="98">
        <v>35</v>
      </c>
      <c r="AD331" s="98">
        <v>31</v>
      </c>
      <c r="AE331" s="98">
        <v>32</v>
      </c>
      <c r="AF331" s="98">
        <v>26</v>
      </c>
      <c r="AG331" s="98">
        <v>28</v>
      </c>
    </row>
    <row r="332" spans="1:33" x14ac:dyDescent="0.3">
      <c r="A332" s="7">
        <v>327</v>
      </c>
      <c r="B332" s="7" t="s">
        <v>701</v>
      </c>
      <c r="C332" s="7" t="s">
        <v>50</v>
      </c>
      <c r="D332" s="8">
        <f>'CDC Source Data'!D36</f>
        <v>199718</v>
      </c>
      <c r="E332" s="8">
        <f>'CDC Source Data'!E36</f>
        <v>33</v>
      </c>
      <c r="F332" s="31">
        <f t="shared" si="5"/>
        <v>16.592199296016688</v>
      </c>
      <c r="G332" s="9">
        <f>'CDC Source Data'!F36</f>
        <v>0.09</v>
      </c>
      <c r="H332" s="7">
        <f>'CDC Source Data'!G36</f>
        <v>0</v>
      </c>
      <c r="I332" s="97">
        <v>24.8</v>
      </c>
      <c r="J332" s="97">
        <v>25.9</v>
      </c>
      <c r="K332" s="98">
        <v>55</v>
      </c>
      <c r="L332" s="98">
        <v>56</v>
      </c>
      <c r="M332" s="98">
        <v>57</v>
      </c>
      <c r="N332" s="98">
        <v>56</v>
      </c>
      <c r="O332" s="98">
        <v>64</v>
      </c>
      <c r="P332" s="98">
        <v>72</v>
      </c>
      <c r="Q332" s="98">
        <v>82</v>
      </c>
      <c r="R332" s="98">
        <v>85</v>
      </c>
      <c r="S332" s="98">
        <v>79</v>
      </c>
      <c r="T332" s="98">
        <v>84</v>
      </c>
      <c r="U332" s="98">
        <v>71</v>
      </c>
      <c r="V332" s="98">
        <v>62</v>
      </c>
      <c r="W332" s="98">
        <v>69</v>
      </c>
      <c r="X332" s="98">
        <v>59</v>
      </c>
      <c r="Y332" s="98">
        <v>57</v>
      </c>
      <c r="Z332" s="98">
        <v>65</v>
      </c>
      <c r="AA332" s="98">
        <v>58</v>
      </c>
      <c r="AB332" s="98">
        <v>53</v>
      </c>
      <c r="AC332" s="98">
        <v>54</v>
      </c>
      <c r="AD332" s="98">
        <v>44</v>
      </c>
      <c r="AE332" s="98">
        <v>45</v>
      </c>
      <c r="AF332" s="98">
        <v>38</v>
      </c>
      <c r="AG332" s="98">
        <v>33</v>
      </c>
    </row>
    <row r="333" spans="1:33" x14ac:dyDescent="0.3">
      <c r="A333" s="7">
        <v>328</v>
      </c>
      <c r="B333" s="7" t="s">
        <v>702</v>
      </c>
      <c r="C333" s="7" t="s">
        <v>239</v>
      </c>
      <c r="D333" s="8">
        <f>'CDC Source Data'!D545</f>
        <v>103105</v>
      </c>
      <c r="E333" s="8">
        <f>'CDC Source Data'!E545</f>
        <v>17</v>
      </c>
      <c r="F333" s="31">
        <f t="shared" si="5"/>
        <v>16.523297849968458</v>
      </c>
      <c r="G333" s="9">
        <f>'CDC Source Data'!F545</f>
        <v>0</v>
      </c>
      <c r="H333" s="7" t="str">
        <f>'CDC Source Data'!G545</f>
        <v>Completeness of provisional 2019 data under 90% after 6 months.</v>
      </c>
      <c r="I333" s="97">
        <v>13.2</v>
      </c>
      <c r="J333" s="97">
        <v>13.7</v>
      </c>
      <c r="K333" s="98">
        <v>18</v>
      </c>
      <c r="L333" s="98">
        <v>20</v>
      </c>
      <c r="M333" s="98">
        <v>22</v>
      </c>
      <c r="N333" s="98">
        <v>26</v>
      </c>
      <c r="O333" s="98">
        <v>31</v>
      </c>
      <c r="P333" s="98">
        <v>27</v>
      </c>
      <c r="Q333" s="98">
        <v>31</v>
      </c>
      <c r="R333" s="98">
        <v>32</v>
      </c>
      <c r="S333" s="98">
        <v>29</v>
      </c>
      <c r="T333" s="98">
        <v>31</v>
      </c>
      <c r="U333" s="98">
        <v>31</v>
      </c>
      <c r="V333" s="98">
        <v>28</v>
      </c>
      <c r="W333" s="98">
        <v>26</v>
      </c>
      <c r="X333" s="98">
        <v>28</v>
      </c>
      <c r="Y333" s="98">
        <v>28</v>
      </c>
      <c r="Z333" s="98">
        <v>27</v>
      </c>
      <c r="AA333" s="98">
        <v>26</v>
      </c>
      <c r="AB333" s="98">
        <v>20</v>
      </c>
      <c r="AC333" s="98">
        <v>14</v>
      </c>
      <c r="AD333" s="98">
        <v>16</v>
      </c>
      <c r="AE333" s="98">
        <v>14</v>
      </c>
      <c r="AF333" s="98">
        <v>15</v>
      </c>
      <c r="AG333" s="98">
        <v>17</v>
      </c>
    </row>
    <row r="334" spans="1:33" x14ac:dyDescent="0.3">
      <c r="A334" s="7">
        <v>329</v>
      </c>
      <c r="B334" s="7" t="s">
        <v>703</v>
      </c>
      <c r="C334" s="7" t="s">
        <v>610</v>
      </c>
      <c r="D334" s="8">
        <f>'CDC Source Data'!D54</f>
        <v>133644</v>
      </c>
      <c r="E334" s="8">
        <f>'CDC Source Data'!E54</f>
        <v>22</v>
      </c>
      <c r="F334" s="31">
        <f t="shared" si="5"/>
        <v>16.488046166529266</v>
      </c>
      <c r="G334" s="9">
        <f>'CDC Source Data'!F54</f>
        <v>0.3</v>
      </c>
      <c r="H334" s="7" t="str">
        <f>'CDC Source Data'!G54</f>
        <v>Completeness of provisional 2019 data under 90% after 6 months.</v>
      </c>
      <c r="I334" s="97">
        <v>21.8</v>
      </c>
      <c r="J334" s="97">
        <v>22.8</v>
      </c>
      <c r="K334" s="98">
        <v>23</v>
      </c>
      <c r="L334" s="98">
        <v>23</v>
      </c>
      <c r="M334" s="98">
        <v>20</v>
      </c>
      <c r="N334" s="98">
        <v>22</v>
      </c>
      <c r="O334" s="98">
        <v>24</v>
      </c>
      <c r="P334" s="98">
        <v>31</v>
      </c>
      <c r="Q334" s="98">
        <v>36</v>
      </c>
      <c r="R334" s="98">
        <v>36</v>
      </c>
      <c r="S334" s="98">
        <v>39</v>
      </c>
      <c r="T334" s="98">
        <v>34</v>
      </c>
      <c r="U334" s="98">
        <v>29</v>
      </c>
      <c r="V334" s="98">
        <v>23</v>
      </c>
      <c r="W334" s="98">
        <v>19</v>
      </c>
      <c r="X334" s="98">
        <v>22</v>
      </c>
      <c r="Y334" s="98">
        <v>24</v>
      </c>
      <c r="Z334" s="98">
        <v>28</v>
      </c>
      <c r="AA334" s="98">
        <v>30</v>
      </c>
      <c r="AB334" s="98">
        <v>29</v>
      </c>
      <c r="AC334" s="98">
        <v>26</v>
      </c>
      <c r="AD334" s="98">
        <v>23</v>
      </c>
      <c r="AE334" s="98">
        <v>20</v>
      </c>
      <c r="AF334" s="98">
        <v>22</v>
      </c>
      <c r="AG334" s="98">
        <v>22</v>
      </c>
    </row>
    <row r="335" spans="1:33" x14ac:dyDescent="0.3">
      <c r="A335" s="7">
        <v>330</v>
      </c>
      <c r="B335" s="7" t="s">
        <v>549</v>
      </c>
      <c r="C335" s="7" t="s">
        <v>490</v>
      </c>
      <c r="D335" s="8">
        <f>'CDC Source Data'!D118</f>
        <v>303952</v>
      </c>
      <c r="E335" s="8">
        <f>'CDC Source Data'!E118</f>
        <v>50</v>
      </c>
      <c r="F335" s="31">
        <f t="shared" si="5"/>
        <v>16.461644368621116</v>
      </c>
      <c r="G335" s="9">
        <f>'CDC Source Data'!F118</f>
        <v>0.15</v>
      </c>
      <c r="H335" s="7" t="str">
        <f>'CDC Source Data'!G118</f>
        <v>Completeness of provisional 2019 data under 90% after 6 months.</v>
      </c>
      <c r="I335" s="97">
        <v>18.3</v>
      </c>
      <c r="J335" s="97">
        <v>19.100000000000001</v>
      </c>
      <c r="K335" s="98">
        <v>36</v>
      </c>
      <c r="L335" s="98">
        <v>46</v>
      </c>
      <c r="M335" s="98">
        <v>38</v>
      </c>
      <c r="N335" s="98">
        <v>40</v>
      </c>
      <c r="O335" s="98">
        <v>47</v>
      </c>
      <c r="P335" s="98">
        <v>42</v>
      </c>
      <c r="Q335" s="98">
        <v>47</v>
      </c>
      <c r="R335" s="98">
        <v>47</v>
      </c>
      <c r="S335" s="98">
        <v>40</v>
      </c>
      <c r="T335" s="98">
        <v>38</v>
      </c>
      <c r="U335" s="98">
        <v>40</v>
      </c>
      <c r="V335" s="98">
        <v>50</v>
      </c>
      <c r="W335" s="98">
        <v>62</v>
      </c>
      <c r="X335" s="98">
        <v>69</v>
      </c>
      <c r="Y335" s="98">
        <v>72</v>
      </c>
      <c r="Z335" s="98">
        <v>68</v>
      </c>
      <c r="AA335" s="98">
        <v>68</v>
      </c>
      <c r="AB335" s="98">
        <v>60</v>
      </c>
      <c r="AC335" s="98">
        <v>58</v>
      </c>
      <c r="AD335" s="98">
        <v>53</v>
      </c>
      <c r="AE335" s="98">
        <v>44</v>
      </c>
      <c r="AF335" s="98">
        <v>51</v>
      </c>
      <c r="AG335" s="98">
        <v>50</v>
      </c>
    </row>
    <row r="336" spans="1:33" x14ac:dyDescent="0.3">
      <c r="A336" s="7">
        <v>331</v>
      </c>
      <c r="B336" s="7" t="s">
        <v>704</v>
      </c>
      <c r="C336" s="7" t="s">
        <v>463</v>
      </c>
      <c r="D336" s="8">
        <f>'CDC Source Data'!D29</f>
        <v>261608</v>
      </c>
      <c r="E336" s="8">
        <f>'CDC Source Data'!E29</f>
        <v>43</v>
      </c>
      <c r="F336" s="31">
        <f t="shared" si="5"/>
        <v>16.449965784071171</v>
      </c>
      <c r="G336" s="9">
        <f>'CDC Source Data'!F29</f>
        <v>0.11</v>
      </c>
      <c r="H336" s="7">
        <f>'CDC Source Data'!G29</f>
        <v>0</v>
      </c>
      <c r="I336" s="97">
        <v>20.8</v>
      </c>
      <c r="J336" s="97">
        <v>21.7</v>
      </c>
      <c r="K336" s="98">
        <v>34</v>
      </c>
      <c r="L336" s="98">
        <v>48</v>
      </c>
      <c r="M336" s="98">
        <v>54</v>
      </c>
      <c r="N336" s="98">
        <v>63</v>
      </c>
      <c r="O336" s="98">
        <v>73</v>
      </c>
      <c r="P336" s="98">
        <v>83</v>
      </c>
      <c r="Q336" s="98">
        <v>94</v>
      </c>
      <c r="R336" s="98">
        <v>88</v>
      </c>
      <c r="S336" s="98">
        <v>90</v>
      </c>
      <c r="T336" s="98">
        <v>86</v>
      </c>
      <c r="U336" s="98">
        <v>74</v>
      </c>
      <c r="V336" s="98">
        <v>75</v>
      </c>
      <c r="W336" s="98">
        <v>70</v>
      </c>
      <c r="X336" s="98">
        <v>72</v>
      </c>
      <c r="Y336" s="98">
        <v>85</v>
      </c>
      <c r="Z336" s="98">
        <v>77</v>
      </c>
      <c r="AA336" s="98">
        <v>72</v>
      </c>
      <c r="AB336" s="98">
        <v>67</v>
      </c>
      <c r="AC336" s="98">
        <v>53</v>
      </c>
      <c r="AD336" s="98">
        <v>55</v>
      </c>
      <c r="AE336" s="98">
        <v>48</v>
      </c>
      <c r="AF336" s="98">
        <v>41</v>
      </c>
      <c r="AG336" s="98">
        <v>43</v>
      </c>
    </row>
    <row r="337" spans="1:33" x14ac:dyDescent="0.3">
      <c r="A337" s="7">
        <v>332</v>
      </c>
      <c r="B337" s="7" t="s">
        <v>558</v>
      </c>
      <c r="C337" s="7" t="s">
        <v>705</v>
      </c>
      <c r="D337" s="8">
        <f>'CDC Source Data'!D91</f>
        <v>200945</v>
      </c>
      <c r="E337" s="8">
        <f>'CDC Source Data'!E91</f>
        <v>33</v>
      </c>
      <c r="F337" s="31">
        <f t="shared" si="5"/>
        <v>16.436806213877251</v>
      </c>
      <c r="G337" s="9">
        <f>'CDC Source Data'!F91</f>
        <v>0</v>
      </c>
      <c r="H337" s="7">
        <f>'CDC Source Data'!G91</f>
        <v>0</v>
      </c>
      <c r="I337" s="97">
        <v>8.6</v>
      </c>
      <c r="J337" s="97">
        <v>9</v>
      </c>
      <c r="K337" s="98">
        <v>18</v>
      </c>
      <c r="L337" s="98">
        <v>21</v>
      </c>
      <c r="M337" s="98">
        <v>24</v>
      </c>
      <c r="N337" s="98">
        <v>21</v>
      </c>
      <c r="O337" s="98">
        <v>24</v>
      </c>
      <c r="P337" s="98">
        <v>31</v>
      </c>
      <c r="Q337" s="98">
        <v>29</v>
      </c>
      <c r="R337" s="98">
        <v>30</v>
      </c>
      <c r="S337" s="98">
        <v>28</v>
      </c>
      <c r="T337" s="98">
        <v>23</v>
      </c>
      <c r="U337" s="98">
        <v>31</v>
      </c>
      <c r="V337" s="98">
        <v>36</v>
      </c>
      <c r="W337" s="98">
        <v>38</v>
      </c>
      <c r="X337" s="98">
        <v>38</v>
      </c>
      <c r="Y337" s="98">
        <v>37</v>
      </c>
      <c r="Z337" s="98">
        <v>32</v>
      </c>
      <c r="AA337" s="98">
        <v>30</v>
      </c>
      <c r="AB337" s="98">
        <v>29</v>
      </c>
      <c r="AC337" s="98">
        <v>25</v>
      </c>
      <c r="AD337" s="98">
        <v>24</v>
      </c>
      <c r="AE337" s="98">
        <v>30</v>
      </c>
      <c r="AF337" s="98">
        <v>34</v>
      </c>
      <c r="AG337" s="98">
        <v>33</v>
      </c>
    </row>
    <row r="338" spans="1:33" x14ac:dyDescent="0.3">
      <c r="A338" s="7">
        <v>333</v>
      </c>
      <c r="B338" s="7" t="s">
        <v>706</v>
      </c>
      <c r="C338" s="7" t="s">
        <v>15</v>
      </c>
      <c r="D338" s="8">
        <f>'CDC Source Data'!D344</f>
        <v>256400</v>
      </c>
      <c r="E338" s="8">
        <f>'CDC Source Data'!E344</f>
        <v>42</v>
      </c>
      <c r="F338" s="31">
        <f t="shared" si="5"/>
        <v>16.422404140436438</v>
      </c>
      <c r="G338" s="9">
        <f>'CDC Source Data'!F344</f>
        <v>0.1</v>
      </c>
      <c r="H338" s="7" t="str">
        <f>'CDC Source Data'!G344</f>
        <v>Completeness of provisional 2019 data under 90% after 6 months.</v>
      </c>
      <c r="I338" s="97">
        <v>17.7</v>
      </c>
      <c r="J338" s="97">
        <v>18.5</v>
      </c>
      <c r="K338" s="98">
        <v>48</v>
      </c>
      <c r="L338" s="98">
        <v>48</v>
      </c>
      <c r="M338" s="98">
        <v>47</v>
      </c>
      <c r="N338" s="98">
        <v>55</v>
      </c>
      <c r="O338" s="98">
        <v>61</v>
      </c>
      <c r="P338" s="98">
        <v>72</v>
      </c>
      <c r="Q338" s="98">
        <v>73</v>
      </c>
      <c r="R338" s="98">
        <v>65</v>
      </c>
      <c r="S338" s="98">
        <v>61</v>
      </c>
      <c r="T338" s="98">
        <v>56</v>
      </c>
      <c r="U338" s="98">
        <v>59</v>
      </c>
      <c r="V338" s="98">
        <v>63</v>
      </c>
      <c r="W338" s="98">
        <v>65</v>
      </c>
      <c r="X338" s="98">
        <v>61</v>
      </c>
      <c r="Y338" s="98">
        <v>64</v>
      </c>
      <c r="Z338" s="98">
        <v>60</v>
      </c>
      <c r="AA338" s="98">
        <v>57</v>
      </c>
      <c r="AB338" s="98">
        <v>53</v>
      </c>
      <c r="AC338" s="98">
        <v>51</v>
      </c>
      <c r="AD338" s="98">
        <v>53</v>
      </c>
      <c r="AE338" s="98">
        <v>48</v>
      </c>
      <c r="AF338" s="98">
        <v>46</v>
      </c>
      <c r="AG338" s="98">
        <v>42</v>
      </c>
    </row>
    <row r="339" spans="1:33" x14ac:dyDescent="0.3">
      <c r="A339" s="7">
        <v>334</v>
      </c>
      <c r="B339" s="7" t="s">
        <v>707</v>
      </c>
      <c r="C339" s="7" t="s">
        <v>469</v>
      </c>
      <c r="D339" s="8">
        <f>'CDC Source Data'!D148</f>
        <v>770307</v>
      </c>
      <c r="E339" s="8">
        <f>'CDC Source Data'!E148</f>
        <v>126</v>
      </c>
      <c r="F339" s="31">
        <f t="shared" si="5"/>
        <v>16.380655226209047</v>
      </c>
      <c r="G339" s="9">
        <f>'CDC Source Data'!F148</f>
        <v>7.0000000000000007E-2</v>
      </c>
      <c r="H339" s="7">
        <f>'CDC Source Data'!G148</f>
        <v>0</v>
      </c>
      <c r="I339" s="97">
        <v>11.1</v>
      </c>
      <c r="J339" s="97">
        <v>11.6</v>
      </c>
      <c r="K339" s="98">
        <v>103</v>
      </c>
      <c r="L339" s="98">
        <v>109</v>
      </c>
      <c r="M339" s="98">
        <v>110</v>
      </c>
      <c r="N339" s="98">
        <v>108</v>
      </c>
      <c r="O339" s="98">
        <v>112</v>
      </c>
      <c r="P339" s="98">
        <v>124</v>
      </c>
      <c r="Q339" s="98">
        <v>133</v>
      </c>
      <c r="R339" s="98">
        <v>152</v>
      </c>
      <c r="S339" s="98">
        <v>159</v>
      </c>
      <c r="T339" s="98">
        <v>162</v>
      </c>
      <c r="U339" s="98">
        <v>163</v>
      </c>
      <c r="V339" s="98">
        <v>175</v>
      </c>
      <c r="W339" s="98">
        <v>179</v>
      </c>
      <c r="X339" s="98">
        <v>172</v>
      </c>
      <c r="Y339" s="98">
        <v>180</v>
      </c>
      <c r="Z339" s="98">
        <v>175</v>
      </c>
      <c r="AA339" s="98">
        <v>175</v>
      </c>
      <c r="AB339" s="98">
        <v>174</v>
      </c>
      <c r="AC339" s="98">
        <v>162</v>
      </c>
      <c r="AD339" s="98">
        <v>157</v>
      </c>
      <c r="AE339" s="98">
        <v>152</v>
      </c>
      <c r="AF339" s="98">
        <v>133</v>
      </c>
      <c r="AG339" s="98">
        <v>126</v>
      </c>
    </row>
    <row r="340" spans="1:33" x14ac:dyDescent="0.3">
      <c r="A340" s="7">
        <v>335</v>
      </c>
      <c r="B340" s="7" t="s">
        <v>708</v>
      </c>
      <c r="C340" s="7" t="s">
        <v>458</v>
      </c>
      <c r="D340" s="8">
        <f>'CDC Source Data'!D37</f>
        <v>201775</v>
      </c>
      <c r="E340" s="8">
        <f>'CDC Source Data'!E37</f>
        <v>33</v>
      </c>
      <c r="F340" s="31">
        <f t="shared" si="5"/>
        <v>16.357114760738252</v>
      </c>
      <c r="G340" s="9">
        <f>'CDC Source Data'!F37</f>
        <v>0.19</v>
      </c>
      <c r="H340" s="7">
        <f>'CDC Source Data'!G37</f>
        <v>0</v>
      </c>
      <c r="I340" s="97">
        <v>13.9</v>
      </c>
      <c r="J340" s="97">
        <v>14.5</v>
      </c>
      <c r="K340" s="98">
        <v>30</v>
      </c>
      <c r="L340" s="98">
        <v>41</v>
      </c>
      <c r="M340" s="98">
        <v>42</v>
      </c>
      <c r="N340" s="98">
        <v>39</v>
      </c>
      <c r="O340" s="98">
        <v>38</v>
      </c>
      <c r="P340" s="98">
        <v>40</v>
      </c>
      <c r="Q340" s="98">
        <v>45</v>
      </c>
      <c r="R340" s="98">
        <v>48</v>
      </c>
      <c r="S340" s="98">
        <v>50</v>
      </c>
      <c r="T340" s="98">
        <v>37</v>
      </c>
      <c r="U340" s="98">
        <v>35</v>
      </c>
      <c r="V340" s="98">
        <v>45</v>
      </c>
      <c r="W340" s="98">
        <v>52</v>
      </c>
      <c r="X340" s="98">
        <v>53</v>
      </c>
      <c r="Y340" s="98">
        <v>55</v>
      </c>
      <c r="Z340" s="98">
        <v>45</v>
      </c>
      <c r="AA340" s="98">
        <v>31</v>
      </c>
      <c r="AB340" s="98">
        <v>32</v>
      </c>
      <c r="AC340" s="98">
        <v>25</v>
      </c>
      <c r="AD340" s="98">
        <v>22</v>
      </c>
      <c r="AE340" s="98">
        <v>34</v>
      </c>
      <c r="AF340" s="98">
        <v>32</v>
      </c>
      <c r="AG340" s="98">
        <v>33</v>
      </c>
    </row>
    <row r="341" spans="1:33" x14ac:dyDescent="0.3">
      <c r="A341" s="7">
        <v>336</v>
      </c>
      <c r="B341" s="7" t="s">
        <v>709</v>
      </c>
      <c r="C341" s="7" t="s">
        <v>19</v>
      </c>
      <c r="D341" s="8">
        <f>'CDC Source Data'!D313</f>
        <v>385655</v>
      </c>
      <c r="E341" s="8">
        <f>'CDC Source Data'!E313</f>
        <v>63</v>
      </c>
      <c r="F341" s="31">
        <f t="shared" si="5"/>
        <v>16.354850700037172</v>
      </c>
      <c r="G341" s="9">
        <f>'CDC Source Data'!F313</f>
        <v>0.06</v>
      </c>
      <c r="H341" s="7" t="str">
        <f>'CDC Source Data'!G313</f>
        <v>Completeness of provisional 2019 data under 90% after 6 months.</v>
      </c>
      <c r="I341" s="97">
        <v>25</v>
      </c>
      <c r="J341" s="97">
        <v>26.1</v>
      </c>
      <c r="K341" s="98">
        <v>98</v>
      </c>
      <c r="L341" s="98">
        <v>112</v>
      </c>
      <c r="M341" s="98">
        <v>111</v>
      </c>
      <c r="N341" s="98">
        <v>119</v>
      </c>
      <c r="O341" s="98">
        <v>116</v>
      </c>
      <c r="P341" s="98">
        <v>125</v>
      </c>
      <c r="Q341" s="98">
        <v>148</v>
      </c>
      <c r="R341" s="98">
        <v>147</v>
      </c>
      <c r="S341" s="98">
        <v>148</v>
      </c>
      <c r="T341" s="98">
        <v>142</v>
      </c>
      <c r="U341" s="98">
        <v>121</v>
      </c>
      <c r="V341" s="98">
        <v>127</v>
      </c>
      <c r="W341" s="98">
        <v>130</v>
      </c>
      <c r="X341" s="98">
        <v>126</v>
      </c>
      <c r="Y341" s="98">
        <v>131</v>
      </c>
      <c r="Z341" s="98">
        <v>125</v>
      </c>
      <c r="AA341" s="98">
        <v>128</v>
      </c>
      <c r="AB341" s="98">
        <v>122</v>
      </c>
      <c r="AC341" s="98">
        <v>107</v>
      </c>
      <c r="AD341" s="98">
        <v>98</v>
      </c>
      <c r="AE341" s="98">
        <v>76</v>
      </c>
      <c r="AF341" s="98">
        <v>61</v>
      </c>
      <c r="AG341" s="98">
        <v>63</v>
      </c>
    </row>
    <row r="342" spans="1:33" x14ac:dyDescent="0.3">
      <c r="A342" s="7">
        <v>337</v>
      </c>
      <c r="B342" s="7" t="s">
        <v>710</v>
      </c>
      <c r="C342" s="7" t="s">
        <v>467</v>
      </c>
      <c r="D342" s="8">
        <f>'CDC Source Data'!D166</f>
        <v>343628</v>
      </c>
      <c r="E342" s="8">
        <f>'CDC Source Data'!E166</f>
        <v>56</v>
      </c>
      <c r="F342" s="31">
        <f t="shared" si="5"/>
        <v>16.335844213092013</v>
      </c>
      <c r="G342" s="9">
        <f>'CDC Source Data'!F166</f>
        <v>2.14</v>
      </c>
      <c r="H342" s="7" t="str">
        <f>'CDC Source Data'!G166</f>
        <v>Completeness of provisional 2019 data under 90% after 6 months.</v>
      </c>
      <c r="I342" s="97">
        <v>15.3</v>
      </c>
      <c r="J342" s="97">
        <v>16</v>
      </c>
      <c r="K342" s="98">
        <v>52</v>
      </c>
      <c r="L342" s="98">
        <v>53</v>
      </c>
      <c r="M342" s="98">
        <v>63</v>
      </c>
      <c r="N342" s="98">
        <v>77</v>
      </c>
      <c r="O342" s="98">
        <v>81</v>
      </c>
      <c r="P342" s="98">
        <v>90</v>
      </c>
      <c r="Q342" s="98">
        <v>91</v>
      </c>
      <c r="R342" s="98">
        <v>106</v>
      </c>
      <c r="S342" s="98">
        <v>121</v>
      </c>
      <c r="T342" s="98">
        <v>136</v>
      </c>
      <c r="U342" s="98">
        <v>148</v>
      </c>
      <c r="V342" s="98">
        <v>132</v>
      </c>
      <c r="W342" s="98">
        <v>125</v>
      </c>
      <c r="X342" s="98">
        <v>121</v>
      </c>
      <c r="Y342" s="98">
        <v>109</v>
      </c>
      <c r="Z342" s="98">
        <v>99</v>
      </c>
      <c r="AA342" s="98">
        <v>86</v>
      </c>
      <c r="AB342" s="98">
        <v>73</v>
      </c>
      <c r="AC342" s="98">
        <v>72</v>
      </c>
      <c r="AD342" s="98">
        <v>85</v>
      </c>
      <c r="AE342" s="98">
        <v>84</v>
      </c>
      <c r="AF342" s="98">
        <v>67</v>
      </c>
      <c r="AG342" s="98">
        <v>56</v>
      </c>
    </row>
    <row r="343" spans="1:33" x14ac:dyDescent="0.3">
      <c r="A343" s="7">
        <v>338</v>
      </c>
      <c r="B343" s="7" t="s">
        <v>711</v>
      </c>
      <c r="C343" s="7" t="s">
        <v>712</v>
      </c>
      <c r="D343" s="8">
        <f>'CDC Source Data'!D369</f>
        <v>208639</v>
      </c>
      <c r="E343" s="8">
        <f>'CDC Source Data'!E369</f>
        <v>34</v>
      </c>
      <c r="F343" s="31">
        <f t="shared" si="5"/>
        <v>16.296692935383611</v>
      </c>
      <c r="G343" s="9">
        <f>'CDC Source Data'!F369</f>
        <v>0</v>
      </c>
      <c r="H343" s="7" t="str">
        <f>'CDC Source Data'!G369</f>
        <v>Completeness of provisional 2019 data under 90% after 6 months.</v>
      </c>
      <c r="I343" s="97">
        <v>11.5</v>
      </c>
      <c r="J343" s="97">
        <v>12</v>
      </c>
      <c r="K343" s="98">
        <v>29</v>
      </c>
      <c r="L343" s="98">
        <v>35</v>
      </c>
      <c r="M343" s="98">
        <v>31</v>
      </c>
      <c r="N343" s="98">
        <v>31</v>
      </c>
      <c r="O343" s="98">
        <v>39</v>
      </c>
      <c r="P343" s="98">
        <v>33</v>
      </c>
      <c r="Q343" s="98">
        <v>37</v>
      </c>
      <c r="R343" s="98">
        <v>36</v>
      </c>
      <c r="S343" s="98">
        <v>33</v>
      </c>
      <c r="T343" s="98">
        <v>30</v>
      </c>
      <c r="U343" s="98">
        <v>30</v>
      </c>
      <c r="V343" s="98">
        <v>25</v>
      </c>
      <c r="W343" s="98">
        <v>24</v>
      </c>
      <c r="X343" s="98">
        <v>25</v>
      </c>
      <c r="Y343" s="98">
        <v>22</v>
      </c>
      <c r="Z343" s="98">
        <v>23</v>
      </c>
      <c r="AA343" s="98">
        <v>26</v>
      </c>
      <c r="AB343" s="98">
        <v>24</v>
      </c>
      <c r="AC343" s="98">
        <v>23</v>
      </c>
      <c r="AD343" s="98">
        <v>31</v>
      </c>
      <c r="AE343" s="98">
        <v>24</v>
      </c>
      <c r="AF343" s="98">
        <v>30</v>
      </c>
      <c r="AG343" s="98">
        <v>34</v>
      </c>
    </row>
    <row r="344" spans="1:33" x14ac:dyDescent="0.3">
      <c r="A344" s="7">
        <v>339</v>
      </c>
      <c r="B344" s="7" t="s">
        <v>540</v>
      </c>
      <c r="C344" s="7" t="s">
        <v>467</v>
      </c>
      <c r="D344" s="8">
        <f>'CDC Source Data'!D136</f>
        <v>338430</v>
      </c>
      <c r="E344" s="8">
        <f>'CDC Source Data'!E136</f>
        <v>55</v>
      </c>
      <c r="F344" s="31">
        <f t="shared" si="5"/>
        <v>16.296090376200041</v>
      </c>
      <c r="G344" s="9">
        <f>'CDC Source Data'!F136</f>
        <v>3.07</v>
      </c>
      <c r="H344" s="7" t="str">
        <f>'CDC Source Data'!G136</f>
        <v>Completeness of provisional 2019 data under 90% after 6 months.</v>
      </c>
      <c r="I344" s="97">
        <v>24.8</v>
      </c>
      <c r="J344" s="97">
        <v>25.9</v>
      </c>
      <c r="K344" s="98">
        <v>107</v>
      </c>
      <c r="L344" s="98">
        <v>124</v>
      </c>
      <c r="M344" s="98">
        <v>142</v>
      </c>
      <c r="N344" s="98">
        <v>154</v>
      </c>
      <c r="O344" s="98">
        <v>156</v>
      </c>
      <c r="P344" s="98">
        <v>177</v>
      </c>
      <c r="Q344" s="98">
        <v>203</v>
      </c>
      <c r="R344" s="98">
        <v>214</v>
      </c>
      <c r="S344" s="98">
        <v>219</v>
      </c>
      <c r="T344" s="98">
        <v>216</v>
      </c>
      <c r="U344" s="98">
        <v>183</v>
      </c>
      <c r="V344" s="98">
        <v>186</v>
      </c>
      <c r="W344" s="98">
        <v>177</v>
      </c>
      <c r="X344" s="98">
        <v>161</v>
      </c>
      <c r="Y344" s="98">
        <v>168</v>
      </c>
      <c r="Z344" s="98">
        <v>128</v>
      </c>
      <c r="AA344" s="98">
        <v>126</v>
      </c>
      <c r="AB344" s="98">
        <v>114</v>
      </c>
      <c r="AC344" s="98">
        <v>116</v>
      </c>
      <c r="AD344" s="98">
        <v>126</v>
      </c>
      <c r="AE344" s="98">
        <v>108</v>
      </c>
      <c r="AF344" s="98">
        <v>88</v>
      </c>
      <c r="AG344" s="98">
        <v>55</v>
      </c>
    </row>
    <row r="345" spans="1:33" x14ac:dyDescent="0.3">
      <c r="A345" s="7">
        <v>340</v>
      </c>
      <c r="B345" s="7" t="s">
        <v>577</v>
      </c>
      <c r="C345" s="7" t="s">
        <v>604</v>
      </c>
      <c r="D345" s="8">
        <f>'CDC Source Data'!D272</f>
        <v>210547</v>
      </c>
      <c r="E345" s="8">
        <f>'CDC Source Data'!E272</f>
        <v>34</v>
      </c>
      <c r="F345" s="31">
        <f t="shared" si="5"/>
        <v>16.251514345654936</v>
      </c>
      <c r="G345" s="9">
        <f>'CDC Source Data'!F272</f>
        <v>0.05</v>
      </c>
      <c r="H345" s="7">
        <f>'CDC Source Data'!G272</f>
        <v>0</v>
      </c>
      <c r="I345" s="97">
        <v>11.8</v>
      </c>
      <c r="J345" s="97">
        <v>12.3</v>
      </c>
      <c r="K345" s="98">
        <v>20</v>
      </c>
      <c r="L345" s="98">
        <v>20</v>
      </c>
      <c r="M345" s="98">
        <v>23</v>
      </c>
      <c r="N345" s="98">
        <v>27</v>
      </c>
      <c r="O345" s="98">
        <v>30</v>
      </c>
      <c r="P345" s="98">
        <v>32</v>
      </c>
      <c r="Q345" s="98">
        <v>25</v>
      </c>
      <c r="R345" s="98">
        <v>20</v>
      </c>
      <c r="S345" s="98">
        <v>17</v>
      </c>
      <c r="T345" s="98">
        <v>17</v>
      </c>
      <c r="U345" s="98">
        <v>21</v>
      </c>
      <c r="V345" s="98">
        <v>32</v>
      </c>
      <c r="W345" s="98">
        <v>34</v>
      </c>
      <c r="X345" s="98">
        <v>39</v>
      </c>
      <c r="Y345" s="98">
        <v>50</v>
      </c>
      <c r="Z345" s="98">
        <v>49</v>
      </c>
      <c r="AA345" s="98">
        <v>55</v>
      </c>
      <c r="AB345" s="98">
        <v>56</v>
      </c>
      <c r="AC345" s="98">
        <v>61</v>
      </c>
      <c r="AD345" s="98">
        <v>56</v>
      </c>
      <c r="AE345" s="98">
        <v>53</v>
      </c>
      <c r="AF345" s="98">
        <v>45</v>
      </c>
      <c r="AG345" s="98">
        <v>34</v>
      </c>
    </row>
    <row r="346" spans="1:33" x14ac:dyDescent="0.3">
      <c r="A346" s="7">
        <v>341</v>
      </c>
      <c r="B346" s="7" t="s">
        <v>713</v>
      </c>
      <c r="C346" s="7" t="s">
        <v>469</v>
      </c>
      <c r="D346" s="8">
        <f>'CDC Source Data'!D402</f>
        <v>124010</v>
      </c>
      <c r="E346" s="8">
        <f>'CDC Source Data'!E402</f>
        <v>20</v>
      </c>
      <c r="F346" s="31">
        <f t="shared" si="5"/>
        <v>16.148413418381644</v>
      </c>
      <c r="G346" s="9">
        <f>'CDC Source Data'!F402</f>
        <v>0</v>
      </c>
      <c r="H346" s="7">
        <f>'CDC Source Data'!G402</f>
        <v>0</v>
      </c>
      <c r="I346" s="97">
        <v>14.9</v>
      </c>
      <c r="J346" s="97">
        <v>15.5</v>
      </c>
      <c r="K346" s="98">
        <v>17</v>
      </c>
      <c r="L346" s="98">
        <v>15</v>
      </c>
      <c r="M346" s="98">
        <v>18</v>
      </c>
      <c r="N346" s="98">
        <v>22</v>
      </c>
      <c r="O346" s="98">
        <v>20</v>
      </c>
      <c r="P346" s="98">
        <v>25</v>
      </c>
      <c r="Q346" s="98">
        <v>23</v>
      </c>
      <c r="R346" s="98">
        <v>23</v>
      </c>
      <c r="S346" s="98">
        <v>25</v>
      </c>
      <c r="T346" s="98">
        <v>23</v>
      </c>
      <c r="U346" s="98">
        <v>27</v>
      </c>
      <c r="V346" s="98">
        <v>25</v>
      </c>
      <c r="W346" s="98">
        <v>24</v>
      </c>
      <c r="X346" s="98">
        <v>30</v>
      </c>
      <c r="Y346" s="98">
        <v>30</v>
      </c>
      <c r="Z346" s="98">
        <v>28</v>
      </c>
      <c r="AA346" s="98">
        <v>27</v>
      </c>
      <c r="AB346" s="98">
        <v>20</v>
      </c>
      <c r="AC346" s="98">
        <v>19</v>
      </c>
      <c r="AD346" s="98">
        <v>22</v>
      </c>
      <c r="AE346" s="98">
        <v>21</v>
      </c>
      <c r="AF346" s="98">
        <v>23</v>
      </c>
      <c r="AG346" s="98">
        <v>20</v>
      </c>
    </row>
    <row r="347" spans="1:33" x14ac:dyDescent="0.3">
      <c r="A347" s="7">
        <v>342</v>
      </c>
      <c r="B347" s="7" t="s">
        <v>714</v>
      </c>
      <c r="C347" s="7" t="s">
        <v>24</v>
      </c>
      <c r="D347" s="8">
        <f>'CDC Source Data'!D299</f>
        <v>254241</v>
      </c>
      <c r="E347" s="8">
        <f>'CDC Source Data'!E299</f>
        <v>41</v>
      </c>
      <c r="F347" s="31">
        <f t="shared" si="5"/>
        <v>16.127731634545601</v>
      </c>
      <c r="G347" s="9">
        <f>'CDC Source Data'!F299</f>
        <v>0</v>
      </c>
      <c r="H347" s="7">
        <f>'CDC Source Data'!G299</f>
        <v>0</v>
      </c>
      <c r="I347" s="97">
        <v>24.2</v>
      </c>
      <c r="J347" s="97">
        <v>25.2</v>
      </c>
      <c r="K347" s="98">
        <v>69</v>
      </c>
      <c r="L347" s="98">
        <v>78</v>
      </c>
      <c r="M347" s="98">
        <v>99</v>
      </c>
      <c r="N347" s="98">
        <v>101</v>
      </c>
      <c r="O347" s="98">
        <v>113</v>
      </c>
      <c r="P347" s="98">
        <v>122</v>
      </c>
      <c r="Q347" s="98">
        <v>121</v>
      </c>
      <c r="R347" s="98">
        <v>120</v>
      </c>
      <c r="S347" s="98">
        <v>122</v>
      </c>
      <c r="T347" s="98">
        <v>131</v>
      </c>
      <c r="U347" s="98">
        <v>119</v>
      </c>
      <c r="V347" s="98">
        <v>117</v>
      </c>
      <c r="W347" s="98">
        <v>107</v>
      </c>
      <c r="X347" s="98">
        <v>89</v>
      </c>
      <c r="Y347" s="98">
        <v>89</v>
      </c>
      <c r="Z347" s="98">
        <v>85</v>
      </c>
      <c r="AA347" s="98">
        <v>79</v>
      </c>
      <c r="AB347" s="98">
        <v>72</v>
      </c>
      <c r="AC347" s="98">
        <v>64</v>
      </c>
      <c r="AD347" s="98">
        <v>50</v>
      </c>
      <c r="AE347" s="98">
        <v>45</v>
      </c>
      <c r="AF347" s="98">
        <v>39</v>
      </c>
      <c r="AG347" s="98">
        <v>41</v>
      </c>
    </row>
    <row r="348" spans="1:33" x14ac:dyDescent="0.3">
      <c r="A348" s="7">
        <v>343</v>
      </c>
      <c r="B348" s="7" t="s">
        <v>715</v>
      </c>
      <c r="C348" s="7" t="s">
        <v>604</v>
      </c>
      <c r="D348" s="8">
        <f>'CDC Source Data'!D206</f>
        <v>367407</v>
      </c>
      <c r="E348" s="8">
        <f>'CDC Source Data'!E206</f>
        <v>59</v>
      </c>
      <c r="F348" s="31">
        <f t="shared" si="5"/>
        <v>16.126431220770844</v>
      </c>
      <c r="G348" s="9">
        <f>'CDC Source Data'!F206</f>
        <v>0.09</v>
      </c>
      <c r="H348" s="7" t="str">
        <f>'CDC Source Data'!G206</f>
        <v>Completeness of provisional 2019 data under 90% after 6 months.</v>
      </c>
      <c r="I348" s="97">
        <v>21.1</v>
      </c>
      <c r="J348" s="97">
        <v>22.1</v>
      </c>
      <c r="K348" s="98">
        <v>59</v>
      </c>
      <c r="L348" s="98">
        <v>68</v>
      </c>
      <c r="M348" s="98">
        <v>76</v>
      </c>
      <c r="N348" s="98">
        <v>82</v>
      </c>
      <c r="O348" s="98">
        <v>91</v>
      </c>
      <c r="P348" s="98">
        <v>83</v>
      </c>
      <c r="Q348" s="98">
        <v>85</v>
      </c>
      <c r="R348" s="98">
        <v>85</v>
      </c>
      <c r="S348" s="98">
        <v>81</v>
      </c>
      <c r="T348" s="98">
        <v>81</v>
      </c>
      <c r="U348" s="98">
        <v>85</v>
      </c>
      <c r="V348" s="98">
        <v>87</v>
      </c>
      <c r="W348" s="98">
        <v>90</v>
      </c>
      <c r="X348" s="98">
        <v>99</v>
      </c>
      <c r="Y348" s="98">
        <v>96</v>
      </c>
      <c r="Z348" s="98">
        <v>89</v>
      </c>
      <c r="AA348" s="98">
        <v>87</v>
      </c>
      <c r="AB348" s="98">
        <v>78</v>
      </c>
      <c r="AC348" s="98">
        <v>73</v>
      </c>
      <c r="AD348" s="98">
        <v>69</v>
      </c>
      <c r="AE348" s="98">
        <v>58</v>
      </c>
      <c r="AF348" s="98">
        <v>57</v>
      </c>
      <c r="AG348" s="98">
        <v>59</v>
      </c>
    </row>
    <row r="349" spans="1:33" x14ac:dyDescent="0.3">
      <c r="A349" s="7">
        <v>344</v>
      </c>
      <c r="B349" s="7" t="s">
        <v>716</v>
      </c>
      <c r="C349" s="7" t="s">
        <v>480</v>
      </c>
      <c r="D349" s="8">
        <f>'CDC Source Data'!D480</f>
        <v>187714</v>
      </c>
      <c r="E349" s="8">
        <f>'CDC Source Data'!E480</f>
        <v>30</v>
      </c>
      <c r="F349" s="31">
        <f t="shared" si="5"/>
        <v>16.058485548723894</v>
      </c>
      <c r="G349" s="9">
        <f>'CDC Source Data'!F480</f>
        <v>0.3</v>
      </c>
      <c r="H349" s="7" t="str">
        <f>'CDC Source Data'!G480</f>
        <v>Completeness of provisional 2019 data under 90% after 6 months.</v>
      </c>
      <c r="I349" s="97">
        <v>22.6</v>
      </c>
      <c r="J349" s="97">
        <v>23.6</v>
      </c>
      <c r="K349" s="98">
        <v>43</v>
      </c>
      <c r="L349" s="98">
        <v>51</v>
      </c>
      <c r="M349" s="98">
        <v>54</v>
      </c>
      <c r="N349" s="98">
        <v>63</v>
      </c>
      <c r="O349" s="98">
        <v>68</v>
      </c>
      <c r="P349" s="98">
        <v>70</v>
      </c>
      <c r="Q349" s="98">
        <v>79</v>
      </c>
      <c r="R349" s="98">
        <v>71</v>
      </c>
      <c r="S349" s="98">
        <v>60</v>
      </c>
      <c r="T349" s="98">
        <v>56</v>
      </c>
      <c r="U349" s="98">
        <v>54</v>
      </c>
      <c r="V349" s="98">
        <v>55</v>
      </c>
      <c r="W349" s="98">
        <v>64</v>
      </c>
      <c r="X349" s="98">
        <v>67</v>
      </c>
      <c r="Y349" s="98">
        <v>60</v>
      </c>
      <c r="Z349" s="98">
        <v>62</v>
      </c>
      <c r="AA349" s="98">
        <v>58</v>
      </c>
      <c r="AB349" s="98">
        <v>58</v>
      </c>
      <c r="AC349" s="98">
        <v>61</v>
      </c>
      <c r="AD349" s="98">
        <v>55</v>
      </c>
      <c r="AE349" s="98">
        <v>48</v>
      </c>
      <c r="AF349" s="98">
        <v>40</v>
      </c>
      <c r="AG349" s="98">
        <v>30</v>
      </c>
    </row>
    <row r="350" spans="1:33" x14ac:dyDescent="0.3">
      <c r="A350" s="7">
        <v>345</v>
      </c>
      <c r="B350" s="7" t="s">
        <v>717</v>
      </c>
      <c r="C350" s="7" t="s">
        <v>604</v>
      </c>
      <c r="D350" s="8">
        <f>'CDC Source Data'!D49</f>
        <v>2127737</v>
      </c>
      <c r="E350" s="8">
        <f>'CDC Source Data'!E49</f>
        <v>340</v>
      </c>
      <c r="F350" s="31">
        <f t="shared" si="5"/>
        <v>15.981759485174255</v>
      </c>
      <c r="G350" s="9">
        <f>'CDC Source Data'!F49</f>
        <v>0.03</v>
      </c>
      <c r="H350" s="7" t="str">
        <f>'CDC Source Data'!G49</f>
        <v>Completeness of provisional 2019 data under 90% after 6 months.</v>
      </c>
      <c r="I350" s="97">
        <v>14.4</v>
      </c>
      <c r="J350" s="97">
        <v>15</v>
      </c>
      <c r="K350" s="98">
        <v>277</v>
      </c>
      <c r="L350" s="98">
        <v>278</v>
      </c>
      <c r="M350" s="98">
        <v>304</v>
      </c>
      <c r="N350" s="98">
        <v>288</v>
      </c>
      <c r="O350" s="98">
        <v>326</v>
      </c>
      <c r="P350" s="98">
        <v>358</v>
      </c>
      <c r="Q350" s="98">
        <v>354</v>
      </c>
      <c r="R350" s="98">
        <v>372</v>
      </c>
      <c r="S350" s="98">
        <v>385</v>
      </c>
      <c r="T350" s="98">
        <v>390</v>
      </c>
      <c r="U350" s="98">
        <v>424</v>
      </c>
      <c r="V350" s="98">
        <v>459</v>
      </c>
      <c r="W350" s="98">
        <v>453</v>
      </c>
      <c r="X350" s="98">
        <v>474</v>
      </c>
      <c r="Y350" s="98">
        <v>476</v>
      </c>
      <c r="Z350" s="98">
        <v>469</v>
      </c>
      <c r="AA350" s="98">
        <v>453</v>
      </c>
      <c r="AB350" s="98">
        <v>430</v>
      </c>
      <c r="AC350" s="98">
        <v>432</v>
      </c>
      <c r="AD350" s="98">
        <v>411</v>
      </c>
      <c r="AE350" s="98">
        <v>400</v>
      </c>
      <c r="AF350" s="98">
        <v>391</v>
      </c>
      <c r="AG350" s="98">
        <v>340</v>
      </c>
    </row>
    <row r="351" spans="1:33" x14ac:dyDescent="0.3">
      <c r="A351" s="7">
        <v>346</v>
      </c>
      <c r="B351" s="7" t="s">
        <v>718</v>
      </c>
      <c r="C351" s="7" t="s">
        <v>237</v>
      </c>
      <c r="D351" s="8">
        <f>'CDC Source Data'!D431</f>
        <v>526597</v>
      </c>
      <c r="E351" s="8">
        <f>'CDC Source Data'!E431</f>
        <v>84</v>
      </c>
      <c r="F351" s="31">
        <f t="shared" si="5"/>
        <v>15.979418508960459</v>
      </c>
      <c r="G351" s="9">
        <f>'CDC Source Data'!F431</f>
        <v>0.97</v>
      </c>
      <c r="H351" s="7" t="str">
        <f>'CDC Source Data'!G431</f>
        <v>Completeness of provisional 2019 data under 90% after 6 months.</v>
      </c>
      <c r="I351" s="97">
        <v>18</v>
      </c>
      <c r="J351" s="97">
        <v>18.8</v>
      </c>
      <c r="K351" s="98">
        <v>152</v>
      </c>
      <c r="L351" s="98">
        <v>161</v>
      </c>
      <c r="M351" s="98">
        <v>161</v>
      </c>
      <c r="N351" s="98">
        <v>155</v>
      </c>
      <c r="O351" s="98">
        <v>158</v>
      </c>
      <c r="P351" s="98">
        <v>156</v>
      </c>
      <c r="Q351" s="98">
        <v>151</v>
      </c>
      <c r="R351" s="98">
        <v>146</v>
      </c>
      <c r="S351" s="98">
        <v>141</v>
      </c>
      <c r="T351" s="98">
        <v>136</v>
      </c>
      <c r="U351" s="98">
        <v>137</v>
      </c>
      <c r="V351" s="98">
        <v>146</v>
      </c>
      <c r="W351" s="98">
        <v>143</v>
      </c>
      <c r="X351" s="98">
        <v>135</v>
      </c>
      <c r="Y351" s="98">
        <v>136</v>
      </c>
      <c r="Z351" s="98">
        <v>141</v>
      </c>
      <c r="AA351" s="98">
        <v>131</v>
      </c>
      <c r="AB351" s="98">
        <v>128</v>
      </c>
      <c r="AC351" s="98">
        <v>123</v>
      </c>
      <c r="AD351" s="98">
        <v>99</v>
      </c>
      <c r="AE351" s="98">
        <v>98</v>
      </c>
      <c r="AF351" s="98">
        <v>95</v>
      </c>
      <c r="AG351" s="98">
        <v>84</v>
      </c>
    </row>
    <row r="352" spans="1:33" x14ac:dyDescent="0.3">
      <c r="A352" s="7">
        <v>347</v>
      </c>
      <c r="B352" s="7" t="s">
        <v>719</v>
      </c>
      <c r="C352" s="7" t="s">
        <v>237</v>
      </c>
      <c r="D352" s="8">
        <f>'CDC Source Data'!D254</f>
        <v>131708</v>
      </c>
      <c r="E352" s="8">
        <f>'CDC Source Data'!E254</f>
        <v>21</v>
      </c>
      <c r="F352" s="31">
        <f t="shared" si="5"/>
        <v>15.951477125771701</v>
      </c>
      <c r="G352" s="9">
        <f>'CDC Source Data'!F254</f>
        <v>0.2</v>
      </c>
      <c r="H352" s="7">
        <f>'CDC Source Data'!G254</f>
        <v>0</v>
      </c>
      <c r="I352" s="97">
        <v>12.6</v>
      </c>
      <c r="J352" s="97">
        <v>13.1</v>
      </c>
      <c r="K352" s="98">
        <v>16</v>
      </c>
      <c r="L352" s="98">
        <v>13</v>
      </c>
      <c r="M352" s="98">
        <v>12</v>
      </c>
      <c r="N352" s="98">
        <v>14</v>
      </c>
      <c r="O352" s="98">
        <v>20</v>
      </c>
      <c r="P352" s="98">
        <v>28</v>
      </c>
      <c r="Q352" s="98">
        <v>27</v>
      </c>
      <c r="R352" s="98">
        <v>24</v>
      </c>
      <c r="S352" s="98">
        <v>18</v>
      </c>
      <c r="T352" s="98">
        <v>13</v>
      </c>
      <c r="U352" s="98">
        <v>12</v>
      </c>
      <c r="V352" s="98">
        <v>16</v>
      </c>
      <c r="W352" s="98">
        <v>19</v>
      </c>
      <c r="X352" s="98">
        <v>19</v>
      </c>
      <c r="Y352" s="98">
        <v>17</v>
      </c>
      <c r="Z352" s="98">
        <v>17</v>
      </c>
      <c r="AA352" s="98">
        <v>17</v>
      </c>
      <c r="AB352" s="98">
        <v>18</v>
      </c>
      <c r="AC352" s="98">
        <v>20</v>
      </c>
      <c r="AD352" s="98">
        <v>19</v>
      </c>
      <c r="AE352" s="98">
        <v>17</v>
      </c>
      <c r="AF352" s="98">
        <v>15</v>
      </c>
      <c r="AG352" s="98">
        <v>21</v>
      </c>
    </row>
    <row r="353" spans="1:33" x14ac:dyDescent="0.3">
      <c r="A353" s="7">
        <v>348</v>
      </c>
      <c r="B353" s="7" t="s">
        <v>720</v>
      </c>
      <c r="C353" s="7" t="s">
        <v>480</v>
      </c>
      <c r="D353" s="8">
        <f>'CDC Source Data'!D276</f>
        <v>264780</v>
      </c>
      <c r="E353" s="8">
        <f>'CDC Source Data'!E276</f>
        <v>42</v>
      </c>
      <c r="F353" s="31">
        <f t="shared" si="5"/>
        <v>15.944361769976007</v>
      </c>
      <c r="G353" s="9">
        <f>'CDC Source Data'!F276</f>
        <v>0.26</v>
      </c>
      <c r="H353" s="7" t="str">
        <f>'CDC Source Data'!G276</f>
        <v>Completeness of provisional 2019 data under 90% after 6 months.</v>
      </c>
      <c r="I353" s="97">
        <v>18.8</v>
      </c>
      <c r="J353" s="97">
        <v>19.7</v>
      </c>
      <c r="K353" s="98">
        <v>52</v>
      </c>
      <c r="L353" s="98">
        <v>61</v>
      </c>
      <c r="M353" s="98">
        <v>60</v>
      </c>
      <c r="N353" s="98">
        <v>54</v>
      </c>
      <c r="O353" s="98">
        <v>57</v>
      </c>
      <c r="P353" s="98">
        <v>51</v>
      </c>
      <c r="Q353" s="98">
        <v>60</v>
      </c>
      <c r="R353" s="98">
        <v>67</v>
      </c>
      <c r="S353" s="98">
        <v>65</v>
      </c>
      <c r="T353" s="98">
        <v>55</v>
      </c>
      <c r="U353" s="98">
        <v>47</v>
      </c>
      <c r="V353" s="98">
        <v>43</v>
      </c>
      <c r="W353" s="98">
        <v>47</v>
      </c>
      <c r="X353" s="98">
        <v>65</v>
      </c>
      <c r="Y353" s="98">
        <v>71</v>
      </c>
      <c r="Z353" s="98">
        <v>76</v>
      </c>
      <c r="AA353" s="98">
        <v>75</v>
      </c>
      <c r="AB353" s="98">
        <v>68</v>
      </c>
      <c r="AC353" s="98">
        <v>60</v>
      </c>
      <c r="AD353" s="98">
        <v>51</v>
      </c>
      <c r="AE353" s="98">
        <v>47</v>
      </c>
      <c r="AF353" s="98">
        <v>41</v>
      </c>
      <c r="AG353" s="98">
        <v>42</v>
      </c>
    </row>
    <row r="354" spans="1:33" x14ac:dyDescent="0.3">
      <c r="A354" s="7">
        <v>349</v>
      </c>
      <c r="B354" s="7" t="s">
        <v>721</v>
      </c>
      <c r="C354" s="7" t="s">
        <v>239</v>
      </c>
      <c r="D354" s="8">
        <f>'CDC Source Data'!D524</f>
        <v>152021</v>
      </c>
      <c r="E354" s="8">
        <f>'CDC Source Data'!E524</f>
        <v>24</v>
      </c>
      <c r="F354" s="31">
        <f t="shared" si="5"/>
        <v>15.862225243598457</v>
      </c>
      <c r="G354" s="9">
        <f>'CDC Source Data'!F524</f>
        <v>0.16</v>
      </c>
      <c r="H354" s="7">
        <f>'CDC Source Data'!G524</f>
        <v>0</v>
      </c>
      <c r="I354" s="97">
        <v>19.5</v>
      </c>
      <c r="J354" s="97">
        <v>20.399999999999999</v>
      </c>
      <c r="K354" s="98">
        <v>35</v>
      </c>
      <c r="L354" s="98">
        <v>41</v>
      </c>
      <c r="M354" s="98">
        <v>46</v>
      </c>
      <c r="N354" s="98">
        <v>52</v>
      </c>
      <c r="O354" s="98">
        <v>57</v>
      </c>
      <c r="P354" s="98">
        <v>58</v>
      </c>
      <c r="Q354" s="98">
        <v>65</v>
      </c>
      <c r="R354" s="98">
        <v>65</v>
      </c>
      <c r="S354" s="98">
        <v>66</v>
      </c>
      <c r="T354" s="98">
        <v>70</v>
      </c>
      <c r="U354" s="98">
        <v>55</v>
      </c>
      <c r="V354" s="98">
        <v>53</v>
      </c>
      <c r="W354" s="98">
        <v>47</v>
      </c>
      <c r="X354" s="98">
        <v>40</v>
      </c>
      <c r="Y354" s="98">
        <v>46</v>
      </c>
      <c r="Z354" s="98">
        <v>41</v>
      </c>
      <c r="AA354" s="98">
        <v>36</v>
      </c>
      <c r="AB354" s="98">
        <v>29</v>
      </c>
      <c r="AC354" s="98">
        <v>29</v>
      </c>
      <c r="AD354" s="98">
        <v>27</v>
      </c>
      <c r="AE354" s="98">
        <v>31</v>
      </c>
      <c r="AF354" s="98">
        <v>29</v>
      </c>
      <c r="AG354" s="98">
        <v>24</v>
      </c>
    </row>
    <row r="355" spans="1:33" x14ac:dyDescent="0.3">
      <c r="A355" s="7">
        <v>350</v>
      </c>
      <c r="B355" s="7" t="s">
        <v>560</v>
      </c>
      <c r="C355" s="7" t="s">
        <v>50</v>
      </c>
      <c r="D355" s="8">
        <f>'CDC Source Data'!D302</f>
        <v>444204</v>
      </c>
      <c r="E355" s="8">
        <f>'CDC Source Data'!E302</f>
        <v>70</v>
      </c>
      <c r="F355" s="31">
        <f t="shared" si="5"/>
        <v>15.787292545108897</v>
      </c>
      <c r="G355" s="9">
        <f>'CDC Source Data'!F302</f>
        <v>0.08</v>
      </c>
      <c r="H355" s="7">
        <f>'CDC Source Data'!G302</f>
        <v>0</v>
      </c>
      <c r="I355" s="97">
        <v>19.2</v>
      </c>
      <c r="J355" s="97">
        <v>20</v>
      </c>
      <c r="K355" s="98">
        <v>102</v>
      </c>
      <c r="L355" s="98">
        <v>104</v>
      </c>
      <c r="M355" s="98">
        <v>104</v>
      </c>
      <c r="N355" s="98">
        <v>102</v>
      </c>
      <c r="O355" s="98">
        <v>120</v>
      </c>
      <c r="P355" s="98">
        <v>132</v>
      </c>
      <c r="Q355" s="98">
        <v>136</v>
      </c>
      <c r="R355" s="98">
        <v>143</v>
      </c>
      <c r="S355" s="98">
        <v>148</v>
      </c>
      <c r="T355" s="98">
        <v>149</v>
      </c>
      <c r="U355" s="98">
        <v>155</v>
      </c>
      <c r="V355" s="98">
        <v>141</v>
      </c>
      <c r="W355" s="98">
        <v>123</v>
      </c>
      <c r="X355" s="98">
        <v>122</v>
      </c>
      <c r="Y355" s="98">
        <v>116</v>
      </c>
      <c r="Z355" s="98">
        <v>117</v>
      </c>
      <c r="AA355" s="98">
        <v>114</v>
      </c>
      <c r="AB355" s="98">
        <v>102</v>
      </c>
      <c r="AC355" s="98">
        <v>80</v>
      </c>
      <c r="AD355" s="98">
        <v>72</v>
      </c>
      <c r="AE355" s="98">
        <v>66</v>
      </c>
      <c r="AF355" s="98">
        <v>58</v>
      </c>
      <c r="AG355" s="98">
        <v>70</v>
      </c>
    </row>
    <row r="356" spans="1:33" x14ac:dyDescent="0.3">
      <c r="A356" s="7">
        <v>351</v>
      </c>
      <c r="B356" s="7" t="s">
        <v>722</v>
      </c>
      <c r="C356" s="7" t="s">
        <v>467</v>
      </c>
      <c r="D356" s="8">
        <f>'CDC Source Data'!D218</f>
        <v>558816</v>
      </c>
      <c r="E356" s="8">
        <f>'CDC Source Data'!E218</f>
        <v>88</v>
      </c>
      <c r="F356" s="31">
        <f t="shared" si="5"/>
        <v>15.758525362220961</v>
      </c>
      <c r="G356" s="9">
        <f>'CDC Source Data'!F218</f>
        <v>1.97</v>
      </c>
      <c r="H356" s="7" t="str">
        <f>'CDC Source Data'!G218</f>
        <v>Completeness of provisional 2019 data under 90% after 6 months.</v>
      </c>
      <c r="I356" s="97">
        <v>19.7</v>
      </c>
      <c r="J356" s="97">
        <v>20.6</v>
      </c>
      <c r="K356" s="98">
        <v>127</v>
      </c>
      <c r="L356" s="98">
        <v>125</v>
      </c>
      <c r="M356" s="98">
        <v>139</v>
      </c>
      <c r="N356" s="98">
        <v>155</v>
      </c>
      <c r="O356" s="98">
        <v>193</v>
      </c>
      <c r="P356" s="98">
        <v>212</v>
      </c>
      <c r="Q356" s="98">
        <v>232</v>
      </c>
      <c r="R356" s="98">
        <v>242</v>
      </c>
      <c r="S356" s="98">
        <v>223</v>
      </c>
      <c r="T356" s="98">
        <v>207</v>
      </c>
      <c r="U356" s="98">
        <v>219</v>
      </c>
      <c r="V356" s="98">
        <v>226</v>
      </c>
      <c r="W356" s="98">
        <v>226</v>
      </c>
      <c r="X356" s="98">
        <v>241</v>
      </c>
      <c r="Y356" s="98">
        <v>215</v>
      </c>
      <c r="Z356" s="98">
        <v>168</v>
      </c>
      <c r="AA356" s="98">
        <v>179</v>
      </c>
      <c r="AB356" s="98">
        <v>170</v>
      </c>
      <c r="AC356" s="98">
        <v>157</v>
      </c>
      <c r="AD356" s="98">
        <v>171</v>
      </c>
      <c r="AE356" s="98">
        <v>137</v>
      </c>
      <c r="AF356" s="98">
        <v>107</v>
      </c>
      <c r="AG356" s="98">
        <v>88</v>
      </c>
    </row>
    <row r="357" spans="1:33" x14ac:dyDescent="0.3">
      <c r="A357" s="7">
        <v>352</v>
      </c>
      <c r="B357" s="7" t="s">
        <v>663</v>
      </c>
      <c r="C357" s="7" t="s">
        <v>50</v>
      </c>
      <c r="D357" s="8">
        <f>'CDC Source Data'!D115</f>
        <v>236760</v>
      </c>
      <c r="E357" s="8">
        <f>'CDC Source Data'!E115</f>
        <v>37</v>
      </c>
      <c r="F357" s="31">
        <f t="shared" si="5"/>
        <v>15.747580598980703</v>
      </c>
      <c r="G357" s="9">
        <f>'CDC Source Data'!F115</f>
        <v>0</v>
      </c>
      <c r="H357" s="7">
        <f>'CDC Source Data'!G115</f>
        <v>0</v>
      </c>
      <c r="I357" s="97">
        <v>26.5</v>
      </c>
      <c r="J357" s="97">
        <v>27.6</v>
      </c>
      <c r="K357" s="98">
        <v>60</v>
      </c>
      <c r="L357" s="98">
        <v>64</v>
      </c>
      <c r="M357" s="98">
        <v>69</v>
      </c>
      <c r="N357" s="98">
        <v>77</v>
      </c>
      <c r="O357" s="98">
        <v>88</v>
      </c>
      <c r="P357" s="98">
        <v>83</v>
      </c>
      <c r="Q357" s="98">
        <v>87</v>
      </c>
      <c r="R357" s="98">
        <v>85</v>
      </c>
      <c r="S357" s="98">
        <v>75</v>
      </c>
      <c r="T357" s="98">
        <v>83</v>
      </c>
      <c r="U357" s="98">
        <v>81</v>
      </c>
      <c r="V357" s="98">
        <v>72</v>
      </c>
      <c r="W357" s="98">
        <v>71</v>
      </c>
      <c r="X357" s="98">
        <v>65</v>
      </c>
      <c r="Y357" s="98">
        <v>57</v>
      </c>
      <c r="Z357" s="98">
        <v>59</v>
      </c>
      <c r="AA357" s="98">
        <v>56</v>
      </c>
      <c r="AB357" s="98">
        <v>51</v>
      </c>
      <c r="AC357" s="98">
        <v>49</v>
      </c>
      <c r="AD357" s="98">
        <v>44</v>
      </c>
      <c r="AE357" s="98">
        <v>38</v>
      </c>
      <c r="AF357" s="98">
        <v>36</v>
      </c>
      <c r="AG357" s="98">
        <v>37</v>
      </c>
    </row>
    <row r="358" spans="1:33" x14ac:dyDescent="0.3">
      <c r="A358" s="7">
        <v>353</v>
      </c>
      <c r="B358" s="7" t="s">
        <v>723</v>
      </c>
      <c r="C358" s="7" t="s">
        <v>50</v>
      </c>
      <c r="D358" s="8">
        <f>'CDC Source Data'!D534</f>
        <v>390670</v>
      </c>
      <c r="E358" s="8">
        <f>'CDC Source Data'!E534</f>
        <v>61</v>
      </c>
      <c r="F358" s="31">
        <f t="shared" si="5"/>
        <v>15.62763980402095</v>
      </c>
      <c r="G358" s="9">
        <f>'CDC Source Data'!F534</f>
        <v>0.05</v>
      </c>
      <c r="H358" s="7">
        <f>'CDC Source Data'!G534</f>
        <v>0</v>
      </c>
      <c r="I358" s="97">
        <v>24.4</v>
      </c>
      <c r="J358" s="97">
        <v>25.4</v>
      </c>
      <c r="K358" s="98">
        <v>73</v>
      </c>
      <c r="L358" s="98">
        <v>89</v>
      </c>
      <c r="M358" s="98">
        <v>96</v>
      </c>
      <c r="N358" s="98">
        <v>88</v>
      </c>
      <c r="O358" s="98">
        <v>93</v>
      </c>
      <c r="P358" s="98">
        <v>94</v>
      </c>
      <c r="Q358" s="98">
        <v>83</v>
      </c>
      <c r="R358" s="98">
        <v>100</v>
      </c>
      <c r="S358" s="98">
        <v>107</v>
      </c>
      <c r="T358" s="98">
        <v>98</v>
      </c>
      <c r="U358" s="98">
        <v>111</v>
      </c>
      <c r="V358" s="98">
        <v>107</v>
      </c>
      <c r="W358" s="98">
        <v>98</v>
      </c>
      <c r="X358" s="98">
        <v>109</v>
      </c>
      <c r="Y358" s="98">
        <v>102</v>
      </c>
      <c r="Z358" s="98">
        <v>95</v>
      </c>
      <c r="AA358" s="98">
        <v>89</v>
      </c>
      <c r="AB358" s="98">
        <v>83</v>
      </c>
      <c r="AC358" s="98">
        <v>81</v>
      </c>
      <c r="AD358" s="98">
        <v>73</v>
      </c>
      <c r="AE358" s="98">
        <v>78</v>
      </c>
      <c r="AF358" s="98">
        <v>68</v>
      </c>
      <c r="AG358" s="98">
        <v>61</v>
      </c>
    </row>
    <row r="359" spans="1:33" x14ac:dyDescent="0.3">
      <c r="A359" s="7">
        <v>354</v>
      </c>
      <c r="B359" s="7" t="s">
        <v>626</v>
      </c>
      <c r="C359" s="7" t="s">
        <v>50</v>
      </c>
      <c r="D359" s="8">
        <f>'CDC Source Data'!D446</f>
        <v>852878</v>
      </c>
      <c r="E359" s="8">
        <f>'CDC Source Data'!E446</f>
        <v>133</v>
      </c>
      <c r="F359" s="31">
        <f t="shared" si="5"/>
        <v>15.614201244016687</v>
      </c>
      <c r="G359" s="9">
        <f>'CDC Source Data'!F446</f>
        <v>0.05</v>
      </c>
      <c r="H359" s="7" t="str">
        <f>'CDC Source Data'!G446</f>
        <v>Completeness of provisional 2019 data under 90% after 6 months.</v>
      </c>
      <c r="I359" s="97">
        <v>22.3</v>
      </c>
      <c r="J359" s="97">
        <v>23.2</v>
      </c>
      <c r="K359" s="98">
        <v>166</v>
      </c>
      <c r="L359" s="98">
        <v>179</v>
      </c>
      <c r="M359" s="98">
        <v>197</v>
      </c>
      <c r="N359" s="98">
        <v>207</v>
      </c>
      <c r="O359" s="98">
        <v>219</v>
      </c>
      <c r="P359" s="98">
        <v>234</v>
      </c>
      <c r="Q359" s="98">
        <v>239</v>
      </c>
      <c r="R359" s="98">
        <v>243</v>
      </c>
      <c r="S359" s="98">
        <v>234</v>
      </c>
      <c r="T359" s="98">
        <v>230</v>
      </c>
      <c r="U359" s="98">
        <v>230</v>
      </c>
      <c r="V359" s="98">
        <v>236</v>
      </c>
      <c r="W359" s="98">
        <v>240</v>
      </c>
      <c r="X359" s="98">
        <v>227</v>
      </c>
      <c r="Y359" s="98">
        <v>217</v>
      </c>
      <c r="Z359" s="98">
        <v>218</v>
      </c>
      <c r="AA359" s="98">
        <v>206</v>
      </c>
      <c r="AB359" s="98">
        <v>204</v>
      </c>
      <c r="AC359" s="98">
        <v>202</v>
      </c>
      <c r="AD359" s="98">
        <v>181</v>
      </c>
      <c r="AE359" s="98">
        <v>162</v>
      </c>
      <c r="AF359" s="98">
        <v>146</v>
      </c>
      <c r="AG359" s="98">
        <v>133</v>
      </c>
    </row>
    <row r="360" spans="1:33" x14ac:dyDescent="0.3">
      <c r="A360" s="7">
        <v>355</v>
      </c>
      <c r="B360" s="7" t="s">
        <v>502</v>
      </c>
      <c r="C360" s="7" t="s">
        <v>19</v>
      </c>
      <c r="D360" s="8">
        <f>'CDC Source Data'!D384</f>
        <v>879190</v>
      </c>
      <c r="E360" s="8">
        <f>'CDC Source Data'!E384</f>
        <v>137</v>
      </c>
      <c r="F360" s="31">
        <f t="shared" si="5"/>
        <v>15.594258498870882</v>
      </c>
      <c r="G360" s="9">
        <f>'CDC Source Data'!F384</f>
        <v>0.04</v>
      </c>
      <c r="H360" s="7">
        <f>'CDC Source Data'!G384</f>
        <v>0</v>
      </c>
      <c r="I360" s="97">
        <v>23.2</v>
      </c>
      <c r="J360" s="97">
        <v>24.2</v>
      </c>
      <c r="K360" s="98">
        <v>217</v>
      </c>
      <c r="L360" s="98">
        <v>231</v>
      </c>
      <c r="M360" s="98">
        <v>232</v>
      </c>
      <c r="N360" s="98">
        <v>226</v>
      </c>
      <c r="O360" s="98">
        <v>212</v>
      </c>
      <c r="P360" s="98">
        <v>207</v>
      </c>
      <c r="Q360" s="98">
        <v>196</v>
      </c>
      <c r="R360" s="98">
        <v>199</v>
      </c>
      <c r="S360" s="98">
        <v>207</v>
      </c>
      <c r="T360" s="98">
        <v>196</v>
      </c>
      <c r="U360" s="98">
        <v>201</v>
      </c>
      <c r="V360" s="98">
        <v>201</v>
      </c>
      <c r="W360" s="98">
        <v>208</v>
      </c>
      <c r="X360" s="98">
        <v>201</v>
      </c>
      <c r="Y360" s="98">
        <v>189</v>
      </c>
      <c r="Z360" s="98">
        <v>166</v>
      </c>
      <c r="AA360" s="98">
        <v>151</v>
      </c>
      <c r="AB360" s="98">
        <v>131</v>
      </c>
      <c r="AC360" s="98">
        <v>119</v>
      </c>
      <c r="AD360" s="98">
        <v>121</v>
      </c>
      <c r="AE360" s="98">
        <v>120</v>
      </c>
      <c r="AF360" s="98">
        <v>133</v>
      </c>
      <c r="AG360" s="98">
        <v>137</v>
      </c>
    </row>
    <row r="361" spans="1:33" x14ac:dyDescent="0.3">
      <c r="A361" s="7">
        <v>356</v>
      </c>
      <c r="B361" s="7" t="s">
        <v>724</v>
      </c>
      <c r="C361" s="7" t="s">
        <v>237</v>
      </c>
      <c r="D361" s="8">
        <f>'CDC Source Data'!D72</f>
        <v>475515</v>
      </c>
      <c r="E361" s="8">
        <f>'CDC Source Data'!E72</f>
        <v>74</v>
      </c>
      <c r="F361" s="31">
        <f t="shared" si="5"/>
        <v>15.582524823985715</v>
      </c>
      <c r="G361" s="9">
        <f>'CDC Source Data'!F72</f>
        <v>0.16</v>
      </c>
      <c r="H361" s="7" t="str">
        <f>'CDC Source Data'!G72</f>
        <v>Completeness of provisional 2019 data under 90% after 6 months.</v>
      </c>
      <c r="I361" s="97">
        <v>25.2</v>
      </c>
      <c r="J361" s="97">
        <v>26.3</v>
      </c>
      <c r="K361" s="98">
        <v>162</v>
      </c>
      <c r="L361" s="98">
        <v>172</v>
      </c>
      <c r="M361" s="98">
        <v>151</v>
      </c>
      <c r="N361" s="98">
        <v>145</v>
      </c>
      <c r="O361" s="98">
        <v>147</v>
      </c>
      <c r="P361" s="98">
        <v>135</v>
      </c>
      <c r="Q361" s="98">
        <v>152</v>
      </c>
      <c r="R361" s="98">
        <v>166</v>
      </c>
      <c r="S361" s="98">
        <v>171</v>
      </c>
      <c r="T361" s="98">
        <v>166</v>
      </c>
      <c r="U361" s="98">
        <v>155</v>
      </c>
      <c r="V361" s="98">
        <v>138</v>
      </c>
      <c r="W361" s="98">
        <v>126</v>
      </c>
      <c r="X361" s="98">
        <v>141</v>
      </c>
      <c r="Y361" s="98">
        <v>138</v>
      </c>
      <c r="Z361" s="98">
        <v>137</v>
      </c>
      <c r="AA361" s="98">
        <v>139</v>
      </c>
      <c r="AB361" s="98">
        <v>113</v>
      </c>
      <c r="AC361" s="98">
        <v>115</v>
      </c>
      <c r="AD361" s="98">
        <v>105</v>
      </c>
      <c r="AE361" s="98">
        <v>94</v>
      </c>
      <c r="AF361" s="98">
        <v>98</v>
      </c>
      <c r="AG361" s="98">
        <v>74</v>
      </c>
    </row>
    <row r="362" spans="1:33" x14ac:dyDescent="0.3">
      <c r="A362" s="7">
        <v>357</v>
      </c>
      <c r="B362" s="7" t="s">
        <v>725</v>
      </c>
      <c r="C362" s="7" t="s">
        <v>237</v>
      </c>
      <c r="D362" s="8">
        <f>'CDC Source Data'!D568</f>
        <v>594160</v>
      </c>
      <c r="E362" s="8">
        <f>'CDC Source Data'!E568</f>
        <v>92</v>
      </c>
      <c r="F362" s="31">
        <f t="shared" si="5"/>
        <v>15.56207480310821</v>
      </c>
      <c r="G362" s="9">
        <f>'CDC Source Data'!F568</f>
        <v>0.18</v>
      </c>
      <c r="H362" s="7">
        <f>'CDC Source Data'!G568</f>
        <v>0</v>
      </c>
      <c r="I362" s="97">
        <v>15.6</v>
      </c>
      <c r="J362" s="97">
        <v>16.3</v>
      </c>
      <c r="K362" s="98">
        <v>136</v>
      </c>
      <c r="L362" s="98">
        <v>164</v>
      </c>
      <c r="M362" s="98">
        <v>159</v>
      </c>
      <c r="N362" s="98">
        <v>164</v>
      </c>
      <c r="O362" s="98">
        <v>173</v>
      </c>
      <c r="P362" s="98">
        <v>173</v>
      </c>
      <c r="Q362" s="98">
        <v>181</v>
      </c>
      <c r="R362" s="98">
        <v>172</v>
      </c>
      <c r="S362" s="98">
        <v>175</v>
      </c>
      <c r="T362" s="98">
        <v>171</v>
      </c>
      <c r="U362" s="98">
        <v>162</v>
      </c>
      <c r="V362" s="98">
        <v>166</v>
      </c>
      <c r="W362" s="98">
        <v>151</v>
      </c>
      <c r="X362" s="98">
        <v>151</v>
      </c>
      <c r="Y362" s="98">
        <v>155</v>
      </c>
      <c r="Z362" s="98">
        <v>148</v>
      </c>
      <c r="AA362" s="98">
        <v>146</v>
      </c>
      <c r="AB362" s="98">
        <v>131</v>
      </c>
      <c r="AC362" s="98">
        <v>114</v>
      </c>
      <c r="AD362" s="98">
        <v>100</v>
      </c>
      <c r="AE362" s="98">
        <v>95</v>
      </c>
      <c r="AF362" s="98">
        <v>99</v>
      </c>
      <c r="AG362" s="98">
        <v>92</v>
      </c>
    </row>
    <row r="363" spans="1:33" x14ac:dyDescent="0.3">
      <c r="A363" s="7">
        <v>358</v>
      </c>
      <c r="B363" s="7" t="s">
        <v>726</v>
      </c>
      <c r="C363" s="7" t="s">
        <v>50</v>
      </c>
      <c r="D363" s="8">
        <f>'CDC Source Data'!D428</f>
        <v>1582055</v>
      </c>
      <c r="E363" s="8">
        <f>'CDC Source Data'!E428</f>
        <v>244</v>
      </c>
      <c r="F363" s="31">
        <f t="shared" si="5"/>
        <v>15.484044701763835</v>
      </c>
      <c r="G363" s="9">
        <f>'CDC Source Data'!F428</f>
        <v>0.04</v>
      </c>
      <c r="H363" s="7">
        <f>'CDC Source Data'!G428</f>
        <v>0</v>
      </c>
      <c r="I363" s="97">
        <v>30.5</v>
      </c>
      <c r="J363" s="97">
        <v>31.9</v>
      </c>
      <c r="K363" s="98">
        <v>503</v>
      </c>
      <c r="L363" s="98">
        <v>568</v>
      </c>
      <c r="M363" s="98">
        <v>582</v>
      </c>
      <c r="N363" s="98">
        <v>566</v>
      </c>
      <c r="O363" s="98">
        <v>533</v>
      </c>
      <c r="P363" s="98">
        <v>518</v>
      </c>
      <c r="Q363" s="98">
        <v>534</v>
      </c>
      <c r="R363" s="98">
        <v>561</v>
      </c>
      <c r="S363" s="98">
        <v>566</v>
      </c>
      <c r="T363" s="98">
        <v>524</v>
      </c>
      <c r="U363" s="98">
        <v>520</v>
      </c>
      <c r="V363" s="98">
        <v>496</v>
      </c>
      <c r="W363" s="98">
        <v>507</v>
      </c>
      <c r="X363" s="98">
        <v>530</v>
      </c>
      <c r="Y363" s="98">
        <v>494</v>
      </c>
      <c r="Z363" s="98">
        <v>486</v>
      </c>
      <c r="AA363" s="98">
        <v>448</v>
      </c>
      <c r="AB363" s="98">
        <v>403</v>
      </c>
      <c r="AC363" s="98">
        <v>367</v>
      </c>
      <c r="AD363" s="98">
        <v>306</v>
      </c>
      <c r="AE363" s="98">
        <v>274</v>
      </c>
      <c r="AF363" s="98">
        <v>260</v>
      </c>
      <c r="AG363" s="98">
        <v>244</v>
      </c>
    </row>
    <row r="364" spans="1:33" x14ac:dyDescent="0.3">
      <c r="A364" s="7">
        <v>359</v>
      </c>
      <c r="B364" s="7" t="s">
        <v>727</v>
      </c>
      <c r="C364" s="7" t="s">
        <v>50</v>
      </c>
      <c r="D364" s="8">
        <f>'CDC Source Data'!D10</f>
        <v>291782</v>
      </c>
      <c r="E364" s="8">
        <f>'CDC Source Data'!E10</f>
        <v>45</v>
      </c>
      <c r="F364" s="31">
        <f t="shared" si="5"/>
        <v>15.422978341460947</v>
      </c>
      <c r="G364" s="9">
        <f>'CDC Source Data'!F10</f>
        <v>0.04</v>
      </c>
      <c r="H364" s="7" t="str">
        <f>'CDC Source Data'!G10</f>
        <v>Completeness of provisional 2019 data under 90% after 6 months.</v>
      </c>
      <c r="I364" s="97">
        <v>12.9</v>
      </c>
      <c r="J364" s="97">
        <v>13.5</v>
      </c>
      <c r="K364" s="98">
        <v>30</v>
      </c>
      <c r="L364" s="98">
        <v>38</v>
      </c>
      <c r="M364" s="98">
        <v>46</v>
      </c>
      <c r="N364" s="98">
        <v>45</v>
      </c>
      <c r="O364" s="98">
        <v>48</v>
      </c>
      <c r="P364" s="98">
        <v>41</v>
      </c>
      <c r="Q364" s="98">
        <v>37</v>
      </c>
      <c r="R364" s="98">
        <v>44</v>
      </c>
      <c r="S364" s="98">
        <v>47</v>
      </c>
      <c r="T364" s="98">
        <v>56</v>
      </c>
      <c r="U364" s="98">
        <v>63</v>
      </c>
      <c r="V364" s="98">
        <v>63</v>
      </c>
      <c r="W364" s="98">
        <v>62</v>
      </c>
      <c r="X364" s="98">
        <v>64</v>
      </c>
      <c r="Y364" s="98">
        <v>53</v>
      </c>
      <c r="Z364" s="98">
        <v>49</v>
      </c>
      <c r="AA364" s="98">
        <v>50</v>
      </c>
      <c r="AB364" s="98">
        <v>42</v>
      </c>
      <c r="AC364" s="98">
        <v>42</v>
      </c>
      <c r="AD364" s="98">
        <v>44</v>
      </c>
      <c r="AE364" s="98">
        <v>43</v>
      </c>
      <c r="AF364" s="98">
        <v>44</v>
      </c>
      <c r="AG364" s="98">
        <v>45</v>
      </c>
    </row>
    <row r="365" spans="1:33" x14ac:dyDescent="0.3">
      <c r="A365" s="7">
        <v>360</v>
      </c>
      <c r="B365" s="7" t="s">
        <v>728</v>
      </c>
      <c r="C365" s="7" t="s">
        <v>32</v>
      </c>
      <c r="D365" s="8">
        <f>'CDC Source Data'!D500</f>
        <v>162261</v>
      </c>
      <c r="E365" s="8">
        <f>'CDC Source Data'!E500</f>
        <v>25</v>
      </c>
      <c r="F365" s="31">
        <f t="shared" si="5"/>
        <v>15.422472942128028</v>
      </c>
      <c r="G365" s="9">
        <f>'CDC Source Data'!F500</f>
        <v>0</v>
      </c>
      <c r="H365" s="7" t="str">
        <f>'CDC Source Data'!G500</f>
        <v>Completeness of provisional 2019 data under 90% after 6 months.</v>
      </c>
      <c r="I365" s="97">
        <v>15.2</v>
      </c>
      <c r="J365" s="97">
        <v>15.9</v>
      </c>
      <c r="K365" s="98">
        <v>36</v>
      </c>
      <c r="L365" s="98">
        <v>39</v>
      </c>
      <c r="M365" s="98">
        <v>35</v>
      </c>
      <c r="N365" s="98">
        <v>34</v>
      </c>
      <c r="O365" s="98">
        <v>41</v>
      </c>
      <c r="P365" s="98">
        <v>38</v>
      </c>
      <c r="Q365" s="98">
        <v>45</v>
      </c>
      <c r="R365" s="98">
        <v>52</v>
      </c>
      <c r="S365" s="98">
        <v>44</v>
      </c>
      <c r="T365" s="98">
        <v>51</v>
      </c>
      <c r="U365" s="98">
        <v>51</v>
      </c>
      <c r="V365" s="98">
        <v>49</v>
      </c>
      <c r="W365" s="98">
        <v>48</v>
      </c>
      <c r="X365" s="98">
        <v>41</v>
      </c>
      <c r="Y365" s="98">
        <v>46</v>
      </c>
      <c r="Z365" s="98">
        <v>48</v>
      </c>
      <c r="AA365" s="98">
        <v>48</v>
      </c>
      <c r="AB365" s="98">
        <v>50</v>
      </c>
      <c r="AC365" s="98">
        <v>46</v>
      </c>
      <c r="AD365" s="98">
        <v>35</v>
      </c>
      <c r="AE365" s="98">
        <v>32</v>
      </c>
      <c r="AF365" s="98">
        <v>33</v>
      </c>
      <c r="AG365" s="98">
        <v>25</v>
      </c>
    </row>
    <row r="366" spans="1:33" x14ac:dyDescent="0.3">
      <c r="A366" s="7">
        <v>361</v>
      </c>
      <c r="B366" s="7" t="s">
        <v>729</v>
      </c>
      <c r="C366" s="7" t="s">
        <v>35</v>
      </c>
      <c r="D366" s="8">
        <f>'CDC Source Data'!D449</f>
        <v>175860</v>
      </c>
      <c r="E366" s="8">
        <f>'CDC Source Data'!E449</f>
        <v>27</v>
      </c>
      <c r="F366" s="31">
        <f t="shared" si="5"/>
        <v>15.407275931986122</v>
      </c>
      <c r="G366" s="9">
        <f>'CDC Source Data'!F449</f>
        <v>0</v>
      </c>
      <c r="H366" s="7">
        <f>'CDC Source Data'!G449</f>
        <v>0</v>
      </c>
      <c r="I366" s="97">
        <v>23.6</v>
      </c>
      <c r="J366" s="97">
        <v>24.6</v>
      </c>
      <c r="K366" s="98">
        <v>39</v>
      </c>
      <c r="L366" s="98">
        <v>42</v>
      </c>
      <c r="M366" s="98">
        <v>36</v>
      </c>
      <c r="N366" s="98">
        <v>44</v>
      </c>
      <c r="O366" s="98">
        <v>48</v>
      </c>
      <c r="P366" s="98">
        <v>47</v>
      </c>
      <c r="Q366" s="98">
        <v>61</v>
      </c>
      <c r="R366" s="98">
        <v>52</v>
      </c>
      <c r="S366" s="98">
        <v>52</v>
      </c>
      <c r="T366" s="98">
        <v>51</v>
      </c>
      <c r="U366" s="98">
        <v>42</v>
      </c>
      <c r="V366" s="98">
        <v>47</v>
      </c>
      <c r="W366" s="98">
        <v>43</v>
      </c>
      <c r="X366" s="98">
        <v>45</v>
      </c>
      <c r="Y366" s="98">
        <v>42</v>
      </c>
      <c r="Z366" s="98">
        <v>42</v>
      </c>
      <c r="AA366" s="98">
        <v>46</v>
      </c>
      <c r="AB366" s="98">
        <v>42</v>
      </c>
      <c r="AC366" s="98">
        <v>39</v>
      </c>
      <c r="AD366" s="98">
        <v>34</v>
      </c>
      <c r="AE366" s="98">
        <v>29</v>
      </c>
      <c r="AF366" s="98">
        <v>28</v>
      </c>
      <c r="AG366" s="98">
        <v>27</v>
      </c>
    </row>
    <row r="367" spans="1:33" x14ac:dyDescent="0.3">
      <c r="A367" s="7">
        <v>362</v>
      </c>
      <c r="B367" s="7" t="s">
        <v>730</v>
      </c>
      <c r="C367" s="7" t="s">
        <v>257</v>
      </c>
      <c r="D367" s="8">
        <f>'CDC Source Data'!D150</f>
        <v>195871</v>
      </c>
      <c r="E367" s="8">
        <f>'CDC Source Data'!E150</f>
        <v>30</v>
      </c>
      <c r="F367" s="31">
        <f t="shared" si="5"/>
        <v>15.353121801432959</v>
      </c>
      <c r="G367" s="9">
        <f>'CDC Source Data'!F150</f>
        <v>0</v>
      </c>
      <c r="H367" s="7">
        <f>'CDC Source Data'!G150</f>
        <v>0</v>
      </c>
      <c r="I367" s="97">
        <v>18.399999999999999</v>
      </c>
      <c r="J367" s="97">
        <v>19.2</v>
      </c>
      <c r="K367" s="98">
        <v>35</v>
      </c>
      <c r="L367" s="98">
        <v>38</v>
      </c>
      <c r="M367" s="98">
        <v>47</v>
      </c>
      <c r="N367" s="98">
        <v>55</v>
      </c>
      <c r="O367" s="98">
        <v>66</v>
      </c>
      <c r="P367" s="98">
        <v>72</v>
      </c>
      <c r="Q367" s="98">
        <v>68</v>
      </c>
      <c r="R367" s="98">
        <v>73</v>
      </c>
      <c r="S367" s="98">
        <v>67</v>
      </c>
      <c r="T367" s="98">
        <v>67</v>
      </c>
      <c r="U367" s="98">
        <v>65</v>
      </c>
      <c r="V367" s="98">
        <v>61</v>
      </c>
      <c r="W367" s="98">
        <v>57</v>
      </c>
      <c r="X367" s="98">
        <v>43</v>
      </c>
      <c r="Y367" s="98">
        <v>46</v>
      </c>
      <c r="Z367" s="98">
        <v>42</v>
      </c>
      <c r="AA367" s="98">
        <v>44</v>
      </c>
      <c r="AB367" s="98">
        <v>49</v>
      </c>
      <c r="AC367" s="98">
        <v>46</v>
      </c>
      <c r="AD367" s="98">
        <v>42</v>
      </c>
      <c r="AE367" s="98">
        <v>35</v>
      </c>
      <c r="AF367" s="98">
        <v>32</v>
      </c>
      <c r="AG367" s="98">
        <v>30</v>
      </c>
    </row>
    <row r="368" spans="1:33" x14ac:dyDescent="0.3">
      <c r="A368" s="7">
        <v>363</v>
      </c>
      <c r="B368" s="7" t="s">
        <v>731</v>
      </c>
      <c r="C368" s="7" t="s">
        <v>32</v>
      </c>
      <c r="D368" s="8">
        <f>'CDC Source Data'!D13</f>
        <v>319964</v>
      </c>
      <c r="E368" s="8">
        <f>'CDC Source Data'!E13</f>
        <v>49</v>
      </c>
      <c r="F368" s="31">
        <f t="shared" si="5"/>
        <v>15.316203011165513</v>
      </c>
      <c r="G368" s="9">
        <f>'CDC Source Data'!F13</f>
        <v>0.28000000000000003</v>
      </c>
      <c r="H368" s="7" t="str">
        <f>'CDC Source Data'!G13</f>
        <v>Completeness of provisional 2019 data under 90% after 6 months.</v>
      </c>
      <c r="I368" s="97">
        <v>15.2</v>
      </c>
      <c r="J368" s="97">
        <v>15.9</v>
      </c>
      <c r="K368" s="98">
        <v>61</v>
      </c>
      <c r="L368" s="98">
        <v>71</v>
      </c>
      <c r="M368" s="98">
        <v>83</v>
      </c>
      <c r="N368" s="98">
        <v>82</v>
      </c>
      <c r="O368" s="98">
        <v>86</v>
      </c>
      <c r="P368" s="98">
        <v>90</v>
      </c>
      <c r="Q368" s="98">
        <v>93</v>
      </c>
      <c r="R368" s="98">
        <v>99</v>
      </c>
      <c r="S368" s="98">
        <v>104</v>
      </c>
      <c r="T368" s="98">
        <v>102</v>
      </c>
      <c r="U368" s="98">
        <v>96</v>
      </c>
      <c r="V368" s="98">
        <v>100</v>
      </c>
      <c r="W368" s="98">
        <v>102</v>
      </c>
      <c r="X368" s="98">
        <v>103</v>
      </c>
      <c r="Y368" s="98">
        <v>91</v>
      </c>
      <c r="Z368" s="98">
        <v>100</v>
      </c>
      <c r="AA368" s="98">
        <v>96</v>
      </c>
      <c r="AB368" s="98">
        <v>87</v>
      </c>
      <c r="AC368" s="98">
        <v>93</v>
      </c>
      <c r="AD368" s="98">
        <v>75</v>
      </c>
      <c r="AE368" s="98">
        <v>63</v>
      </c>
      <c r="AF368" s="98">
        <v>56</v>
      </c>
      <c r="AG368" s="98">
        <v>49</v>
      </c>
    </row>
    <row r="369" spans="1:33" x14ac:dyDescent="0.3">
      <c r="A369" s="7">
        <v>364</v>
      </c>
      <c r="B369" s="7" t="s">
        <v>464</v>
      </c>
      <c r="C369" s="7" t="s">
        <v>475</v>
      </c>
      <c r="D369" s="8">
        <f>'CDC Source Data'!D582</f>
        <v>283960</v>
      </c>
      <c r="E369" s="8">
        <f>'CDC Source Data'!E582</f>
        <v>43</v>
      </c>
      <c r="F369" s="31">
        <f t="shared" si="5"/>
        <v>15.314222850070633</v>
      </c>
      <c r="G369" s="9">
        <f>'CDC Source Data'!F582</f>
        <v>0</v>
      </c>
      <c r="H369" s="7" t="str">
        <f>'CDC Source Data'!G582</f>
        <v>Completeness of provisional 2019 data under 90% after 6 months.</v>
      </c>
      <c r="I369" s="97">
        <v>10.8</v>
      </c>
      <c r="J369" s="97">
        <v>11.3</v>
      </c>
      <c r="K369" s="98">
        <v>36</v>
      </c>
      <c r="L369" s="98">
        <v>30</v>
      </c>
      <c r="M369" s="98">
        <v>34</v>
      </c>
      <c r="N369" s="98">
        <v>38</v>
      </c>
      <c r="O369" s="98">
        <v>41</v>
      </c>
      <c r="P369" s="98">
        <v>44</v>
      </c>
      <c r="Q369" s="98">
        <v>45</v>
      </c>
      <c r="R369" s="98">
        <v>40</v>
      </c>
      <c r="S369" s="98">
        <v>35</v>
      </c>
      <c r="T369" s="98">
        <v>32</v>
      </c>
      <c r="U369" s="98">
        <v>32</v>
      </c>
      <c r="V369" s="98">
        <v>30</v>
      </c>
      <c r="W369" s="98">
        <v>35</v>
      </c>
      <c r="X369" s="98">
        <v>37</v>
      </c>
      <c r="Y369" s="98">
        <v>39</v>
      </c>
      <c r="Z369" s="98">
        <v>41</v>
      </c>
      <c r="AA369" s="98">
        <v>38</v>
      </c>
      <c r="AB369" s="98">
        <v>35</v>
      </c>
      <c r="AC369" s="98">
        <v>31</v>
      </c>
      <c r="AD369" s="98">
        <v>35</v>
      </c>
      <c r="AE369" s="98">
        <v>38</v>
      </c>
      <c r="AF369" s="98">
        <v>42</v>
      </c>
      <c r="AG369" s="98">
        <v>43</v>
      </c>
    </row>
    <row r="370" spans="1:33" x14ac:dyDescent="0.3">
      <c r="A370" s="7">
        <v>365</v>
      </c>
      <c r="B370" s="7" t="s">
        <v>732</v>
      </c>
      <c r="C370" s="7" t="s">
        <v>24</v>
      </c>
      <c r="D370" s="8">
        <f>'CDC Source Data'!D78</f>
        <v>224893</v>
      </c>
      <c r="E370" s="8">
        <f>'CDC Source Data'!E78</f>
        <v>34</v>
      </c>
      <c r="F370" s="31">
        <f t="shared" si="5"/>
        <v>15.142977884209044</v>
      </c>
      <c r="G370" s="9">
        <f>'CDC Source Data'!F78</f>
        <v>0</v>
      </c>
      <c r="H370" s="7">
        <f>'CDC Source Data'!G78</f>
        <v>0</v>
      </c>
      <c r="I370" s="97">
        <v>15</v>
      </c>
      <c r="J370" s="97">
        <v>15.7</v>
      </c>
      <c r="K370" s="98">
        <v>24</v>
      </c>
      <c r="L370" s="98">
        <v>26</v>
      </c>
      <c r="M370" s="98">
        <v>30</v>
      </c>
      <c r="N370" s="98">
        <v>28</v>
      </c>
      <c r="O370" s="98">
        <v>28</v>
      </c>
      <c r="P370" s="98">
        <v>30</v>
      </c>
      <c r="Q370" s="98">
        <v>31</v>
      </c>
      <c r="R370" s="98">
        <v>31</v>
      </c>
      <c r="S370" s="98">
        <v>31</v>
      </c>
      <c r="T370" s="98">
        <v>26</v>
      </c>
      <c r="U370" s="98">
        <v>26</v>
      </c>
      <c r="V370" s="98">
        <v>28</v>
      </c>
      <c r="W370" s="98">
        <v>37</v>
      </c>
      <c r="X370" s="98">
        <v>49</v>
      </c>
      <c r="Y370" s="98">
        <v>55</v>
      </c>
      <c r="Z370" s="98">
        <v>62</v>
      </c>
      <c r="AA370" s="98">
        <v>55</v>
      </c>
      <c r="AB370" s="98">
        <v>46</v>
      </c>
      <c r="AC370" s="98">
        <v>33</v>
      </c>
      <c r="AD370" s="98">
        <v>25</v>
      </c>
      <c r="AE370" s="98">
        <v>24</v>
      </c>
      <c r="AF370" s="98">
        <v>26</v>
      </c>
      <c r="AG370" s="98">
        <v>34</v>
      </c>
    </row>
    <row r="371" spans="1:33" x14ac:dyDescent="0.3">
      <c r="A371" s="7">
        <v>366</v>
      </c>
      <c r="B371" s="7" t="s">
        <v>733</v>
      </c>
      <c r="C371" s="7" t="s">
        <v>11</v>
      </c>
      <c r="D371" s="8">
        <f>'CDC Source Data'!D451</f>
        <v>966629</v>
      </c>
      <c r="E371" s="8">
        <f>'CDC Source Data'!E451</f>
        <v>146</v>
      </c>
      <c r="F371" s="31">
        <f t="shared" si="5"/>
        <v>15.118300703000983</v>
      </c>
      <c r="G371" s="9">
        <f>'CDC Source Data'!F451</f>
        <v>0.08</v>
      </c>
      <c r="H371" s="7">
        <f>'CDC Source Data'!G451</f>
        <v>0</v>
      </c>
      <c r="I371" s="97">
        <v>13.2</v>
      </c>
      <c r="J371" s="97">
        <v>13.8</v>
      </c>
      <c r="K371" s="98">
        <v>182</v>
      </c>
      <c r="L371" s="98">
        <v>206</v>
      </c>
      <c r="M371" s="98">
        <v>213</v>
      </c>
      <c r="N371" s="98">
        <v>222</v>
      </c>
      <c r="O371" s="98">
        <v>220</v>
      </c>
      <c r="P371" s="98">
        <v>219</v>
      </c>
      <c r="Q371" s="98">
        <v>220</v>
      </c>
      <c r="R371" s="98">
        <v>207</v>
      </c>
      <c r="S371" s="98">
        <v>227</v>
      </c>
      <c r="T371" s="98">
        <v>220</v>
      </c>
      <c r="U371" s="98">
        <v>226</v>
      </c>
      <c r="V371" s="98">
        <v>250</v>
      </c>
      <c r="W371" s="98">
        <v>242</v>
      </c>
      <c r="X371" s="98">
        <v>265</v>
      </c>
      <c r="Y371" s="98">
        <v>284</v>
      </c>
      <c r="Z371" s="98">
        <v>268</v>
      </c>
      <c r="AA371" s="98">
        <v>261</v>
      </c>
      <c r="AB371" s="98">
        <v>234</v>
      </c>
      <c r="AC371" s="98">
        <v>210</v>
      </c>
      <c r="AD371" s="98">
        <v>188</v>
      </c>
      <c r="AE371" s="98">
        <v>168</v>
      </c>
      <c r="AF371" s="98">
        <v>159</v>
      </c>
      <c r="AG371" s="98">
        <v>146</v>
      </c>
    </row>
    <row r="372" spans="1:33" x14ac:dyDescent="0.3">
      <c r="A372" s="7">
        <v>367</v>
      </c>
      <c r="B372" s="7" t="s">
        <v>734</v>
      </c>
      <c r="C372" s="7" t="s">
        <v>50</v>
      </c>
      <c r="D372" s="8">
        <f>'CDC Source Data'!D99</f>
        <v>212122</v>
      </c>
      <c r="E372" s="8">
        <f>'CDC Source Data'!E99</f>
        <v>32</v>
      </c>
      <c r="F372" s="31">
        <f t="shared" si="5"/>
        <v>15.1040368124689</v>
      </c>
      <c r="G372" s="9">
        <f>'CDC Source Data'!F99</f>
        <v>0.09</v>
      </c>
      <c r="H372" s="7">
        <f>'CDC Source Data'!G99</f>
        <v>0</v>
      </c>
      <c r="I372" s="97">
        <v>11.5</v>
      </c>
      <c r="J372" s="97">
        <v>12</v>
      </c>
      <c r="K372" s="98">
        <v>26</v>
      </c>
      <c r="L372" s="98">
        <v>31</v>
      </c>
      <c r="M372" s="98">
        <v>33</v>
      </c>
      <c r="N372" s="98">
        <v>30</v>
      </c>
      <c r="O372" s="98">
        <v>32</v>
      </c>
      <c r="P372" s="98">
        <v>35</v>
      </c>
      <c r="Q372" s="98">
        <v>48</v>
      </c>
      <c r="R372" s="98">
        <v>54</v>
      </c>
      <c r="S372" s="98">
        <v>60</v>
      </c>
      <c r="T372" s="98">
        <v>65</v>
      </c>
      <c r="U372" s="98">
        <v>57</v>
      </c>
      <c r="V372" s="98">
        <v>58</v>
      </c>
      <c r="W372" s="98">
        <v>53</v>
      </c>
      <c r="X372" s="98">
        <v>52</v>
      </c>
      <c r="Y372" s="98">
        <v>57</v>
      </c>
      <c r="Z372" s="98">
        <v>59</v>
      </c>
      <c r="AA372" s="98">
        <v>54</v>
      </c>
      <c r="AB372" s="98">
        <v>48</v>
      </c>
      <c r="AC372" s="98">
        <v>45</v>
      </c>
      <c r="AD372" s="98">
        <v>44</v>
      </c>
      <c r="AE372" s="98">
        <v>43</v>
      </c>
      <c r="AF372" s="98">
        <v>38</v>
      </c>
      <c r="AG372" s="98">
        <v>32</v>
      </c>
    </row>
    <row r="373" spans="1:33" x14ac:dyDescent="0.3">
      <c r="A373" s="7">
        <v>368</v>
      </c>
      <c r="B373" s="7" t="s">
        <v>735</v>
      </c>
      <c r="C373" s="7" t="s">
        <v>572</v>
      </c>
      <c r="D373" s="8">
        <f>'CDC Source Data'!D147</f>
        <v>378470</v>
      </c>
      <c r="E373" s="8">
        <f>'CDC Source Data'!E147</f>
        <v>57</v>
      </c>
      <c r="F373" s="31">
        <f t="shared" si="5"/>
        <v>15.085658253269346</v>
      </c>
      <c r="G373" s="9">
        <f>'CDC Source Data'!F147</f>
        <v>0.13</v>
      </c>
      <c r="H373" s="7" t="str">
        <f>'CDC Source Data'!G147</f>
        <v>Completeness of provisional 2019 data under 90% after 6 months.</v>
      </c>
      <c r="I373" s="97">
        <v>18.600000000000001</v>
      </c>
      <c r="J373" s="97">
        <v>19.399999999999999</v>
      </c>
      <c r="K373" s="98">
        <v>49</v>
      </c>
      <c r="L373" s="98">
        <v>55</v>
      </c>
      <c r="M373" s="98">
        <v>66</v>
      </c>
      <c r="N373" s="98">
        <v>62</v>
      </c>
      <c r="O373" s="98">
        <v>64</v>
      </c>
      <c r="P373" s="98">
        <v>64</v>
      </c>
      <c r="Q373" s="98">
        <v>53</v>
      </c>
      <c r="R373" s="98">
        <v>56</v>
      </c>
      <c r="S373" s="98">
        <v>52</v>
      </c>
      <c r="T373" s="98">
        <v>49</v>
      </c>
      <c r="U373" s="98">
        <v>62</v>
      </c>
      <c r="V373" s="98">
        <v>71</v>
      </c>
      <c r="W373" s="98">
        <v>73</v>
      </c>
      <c r="X373" s="98">
        <v>74</v>
      </c>
      <c r="Y373" s="98">
        <v>63</v>
      </c>
      <c r="Z373" s="98">
        <v>55</v>
      </c>
      <c r="AA373" s="98">
        <v>53</v>
      </c>
      <c r="AB373" s="98">
        <v>53</v>
      </c>
      <c r="AC373" s="98">
        <v>52</v>
      </c>
      <c r="AD373" s="98">
        <v>48</v>
      </c>
      <c r="AE373" s="98">
        <v>55</v>
      </c>
      <c r="AF373" s="98">
        <v>54</v>
      </c>
      <c r="AG373" s="98">
        <v>57</v>
      </c>
    </row>
    <row r="374" spans="1:33" x14ac:dyDescent="0.3">
      <c r="A374" s="7">
        <v>369</v>
      </c>
      <c r="B374" s="7" t="s">
        <v>736</v>
      </c>
      <c r="C374" s="7" t="s">
        <v>32</v>
      </c>
      <c r="D374" s="8">
        <f>'CDC Source Data'!D419</f>
        <v>411767</v>
      </c>
      <c r="E374" s="8">
        <f>'CDC Source Data'!E419</f>
        <v>62</v>
      </c>
      <c r="F374" s="31">
        <f t="shared" si="5"/>
        <v>15.060638888154941</v>
      </c>
      <c r="G374" s="9">
        <f>'CDC Source Data'!F419</f>
        <v>0.31</v>
      </c>
      <c r="H374" s="7">
        <f>'CDC Source Data'!G419</f>
        <v>0</v>
      </c>
      <c r="I374" s="97">
        <v>21.2</v>
      </c>
      <c r="J374" s="97">
        <v>22.1</v>
      </c>
      <c r="K374" s="98">
        <v>92</v>
      </c>
      <c r="L374" s="98">
        <v>101</v>
      </c>
      <c r="M374" s="98">
        <v>110</v>
      </c>
      <c r="N374" s="98">
        <v>123</v>
      </c>
      <c r="O374" s="98">
        <v>126</v>
      </c>
      <c r="P374" s="98">
        <v>125</v>
      </c>
      <c r="Q374" s="98">
        <v>137</v>
      </c>
      <c r="R374" s="98">
        <v>147</v>
      </c>
      <c r="S374" s="98">
        <v>158</v>
      </c>
      <c r="T374" s="98">
        <v>154</v>
      </c>
      <c r="U374" s="98">
        <v>153</v>
      </c>
      <c r="V374" s="98">
        <v>135</v>
      </c>
      <c r="W374" s="98">
        <v>122</v>
      </c>
      <c r="X374" s="98">
        <v>131</v>
      </c>
      <c r="Y374" s="98">
        <v>106</v>
      </c>
      <c r="Z374" s="98">
        <v>115</v>
      </c>
      <c r="AA374" s="98">
        <v>111</v>
      </c>
      <c r="AB374" s="98">
        <v>85</v>
      </c>
      <c r="AC374" s="98">
        <v>87</v>
      </c>
      <c r="AD374" s="98">
        <v>72</v>
      </c>
      <c r="AE374" s="98">
        <v>57</v>
      </c>
      <c r="AF374" s="98">
        <v>59</v>
      </c>
      <c r="AG374" s="98">
        <v>62</v>
      </c>
    </row>
    <row r="375" spans="1:33" x14ac:dyDescent="0.3">
      <c r="A375" s="7">
        <v>370</v>
      </c>
      <c r="B375" s="7" t="s">
        <v>737</v>
      </c>
      <c r="C375" s="7" t="s">
        <v>604</v>
      </c>
      <c r="D375" s="8">
        <f>'CDC Source Data'!D429</f>
        <v>179707</v>
      </c>
      <c r="E375" s="8">
        <f>'CDC Source Data'!E429</f>
        <v>27</v>
      </c>
      <c r="F375" s="31">
        <f t="shared" si="5"/>
        <v>15.057058967814323</v>
      </c>
      <c r="G375" s="9">
        <f>'CDC Source Data'!F429</f>
        <v>0.13</v>
      </c>
      <c r="H375" s="7">
        <f>'CDC Source Data'!G429</f>
        <v>0</v>
      </c>
      <c r="I375" s="97">
        <v>14.4</v>
      </c>
      <c r="J375" s="97">
        <v>15</v>
      </c>
      <c r="K375" s="98">
        <v>16</v>
      </c>
      <c r="L375" s="98">
        <v>17</v>
      </c>
      <c r="M375" s="98">
        <v>15</v>
      </c>
      <c r="N375" s="98">
        <v>19</v>
      </c>
      <c r="O375" s="98">
        <v>21</v>
      </c>
      <c r="P375" s="98">
        <v>25</v>
      </c>
      <c r="Q375" s="98">
        <v>29</v>
      </c>
      <c r="R375" s="98">
        <v>27</v>
      </c>
      <c r="S375" s="98">
        <v>30</v>
      </c>
      <c r="T375" s="98">
        <v>26</v>
      </c>
      <c r="U375" s="98">
        <v>27</v>
      </c>
      <c r="V375" s="98">
        <v>30</v>
      </c>
      <c r="W375" s="98">
        <v>26</v>
      </c>
      <c r="X375" s="98">
        <v>36</v>
      </c>
      <c r="Y375" s="98">
        <v>37</v>
      </c>
      <c r="Z375" s="98">
        <v>38</v>
      </c>
      <c r="AA375" s="98">
        <v>39</v>
      </c>
      <c r="AB375" s="98">
        <v>34</v>
      </c>
      <c r="AC375" s="98">
        <v>29</v>
      </c>
      <c r="AD375" s="98">
        <v>25</v>
      </c>
      <c r="AE375" s="98">
        <v>29</v>
      </c>
      <c r="AF375" s="98">
        <v>26</v>
      </c>
      <c r="AG375" s="98">
        <v>27</v>
      </c>
    </row>
    <row r="376" spans="1:33" x14ac:dyDescent="0.3">
      <c r="A376" s="7">
        <v>371</v>
      </c>
      <c r="B376" s="7" t="s">
        <v>738</v>
      </c>
      <c r="C376" s="7" t="s">
        <v>604</v>
      </c>
      <c r="D376" s="8">
        <f>'CDC Source Data'!D231</f>
        <v>5009302</v>
      </c>
      <c r="E376" s="8">
        <f>'CDC Source Data'!E231</f>
        <v>750</v>
      </c>
      <c r="F376" s="31">
        <f t="shared" si="5"/>
        <v>15.024456476375432</v>
      </c>
      <c r="G376" s="9">
        <f>'CDC Source Data'!F231</f>
        <v>0.5</v>
      </c>
      <c r="H376" s="7" t="str">
        <f>'CDC Source Data'!G231</f>
        <v>Completeness of provisional 2019 data under 90% after 6 months.</v>
      </c>
      <c r="I376" s="97">
        <v>14.6</v>
      </c>
      <c r="J376" s="97">
        <v>15.2</v>
      </c>
      <c r="K376" s="98">
        <v>644</v>
      </c>
      <c r="L376" s="98">
        <v>732</v>
      </c>
      <c r="M376" s="98">
        <v>840</v>
      </c>
      <c r="N376" s="98">
        <v>891</v>
      </c>
      <c r="O376" s="98">
        <v>985</v>
      </c>
      <c r="P376" s="100"/>
      <c r="Q376" s="100"/>
      <c r="R376" s="100"/>
      <c r="S376" s="100"/>
      <c r="T376" s="100"/>
      <c r="U376" s="100"/>
      <c r="V376" s="100"/>
      <c r="W376" s="100"/>
      <c r="X376" s="100"/>
      <c r="Y376" s="100"/>
      <c r="Z376" s="100"/>
      <c r="AA376" s="100"/>
      <c r="AB376" s="98">
        <v>997</v>
      </c>
      <c r="AC376" s="98">
        <v>960</v>
      </c>
      <c r="AD376" s="98">
        <v>920</v>
      </c>
      <c r="AE376" s="98">
        <v>880</v>
      </c>
      <c r="AF376" s="98">
        <v>822</v>
      </c>
      <c r="AG376" s="98">
        <v>750</v>
      </c>
    </row>
    <row r="377" spans="1:33" x14ac:dyDescent="0.3">
      <c r="A377" s="7">
        <v>372</v>
      </c>
      <c r="B377" s="7" t="s">
        <v>581</v>
      </c>
      <c r="C377" s="7" t="s">
        <v>19</v>
      </c>
      <c r="D377" s="8">
        <f>'CDC Source Data'!D178</f>
        <v>267750</v>
      </c>
      <c r="E377" s="8">
        <f>'CDC Source Data'!E178</f>
        <v>40</v>
      </c>
      <c r="F377" s="31">
        <f t="shared" si="5"/>
        <v>14.972145819916628</v>
      </c>
      <c r="G377" s="9">
        <f>'CDC Source Data'!F178</f>
        <v>0.03</v>
      </c>
      <c r="H377" s="7">
        <f>'CDC Source Data'!G178</f>
        <v>0</v>
      </c>
      <c r="I377" s="97">
        <v>25.5</v>
      </c>
      <c r="J377" s="97">
        <v>26.7</v>
      </c>
      <c r="K377" s="98">
        <v>76</v>
      </c>
      <c r="L377" s="98">
        <v>78</v>
      </c>
      <c r="M377" s="98">
        <v>80</v>
      </c>
      <c r="N377" s="98">
        <v>75</v>
      </c>
      <c r="O377" s="98">
        <v>74</v>
      </c>
      <c r="P377" s="98">
        <v>84</v>
      </c>
      <c r="Q377" s="98">
        <v>86</v>
      </c>
      <c r="R377" s="98">
        <v>93</v>
      </c>
      <c r="S377" s="98">
        <v>104</v>
      </c>
      <c r="T377" s="98">
        <v>92</v>
      </c>
      <c r="U377" s="98">
        <v>92</v>
      </c>
      <c r="V377" s="98">
        <v>103</v>
      </c>
      <c r="W377" s="98">
        <v>92</v>
      </c>
      <c r="X377" s="98">
        <v>114</v>
      </c>
      <c r="Y377" s="98">
        <v>126</v>
      </c>
      <c r="Z377" s="98">
        <v>113</v>
      </c>
      <c r="AA377" s="98">
        <v>113</v>
      </c>
      <c r="AB377" s="98">
        <v>95</v>
      </c>
      <c r="AC377" s="98">
        <v>77</v>
      </c>
      <c r="AD377" s="98">
        <v>65</v>
      </c>
      <c r="AE377" s="98">
        <v>59</v>
      </c>
      <c r="AF377" s="98">
        <v>45</v>
      </c>
      <c r="AG377" s="98">
        <v>40</v>
      </c>
    </row>
    <row r="378" spans="1:33" x14ac:dyDescent="0.3">
      <c r="A378" s="7">
        <v>373</v>
      </c>
      <c r="B378" s="7" t="s">
        <v>260</v>
      </c>
      <c r="C378" s="7" t="s">
        <v>27</v>
      </c>
      <c r="D378" s="8">
        <f>'CDC Source Data'!D339</f>
        <v>100409</v>
      </c>
      <c r="E378" s="8">
        <f>'CDC Source Data'!E339</f>
        <v>15</v>
      </c>
      <c r="F378" s="31">
        <f t="shared" si="5"/>
        <v>14.939309056956116</v>
      </c>
      <c r="G378" s="9">
        <f>'CDC Source Data'!F339</f>
        <v>0</v>
      </c>
      <c r="H378" s="7" t="str">
        <f>'CDC Source Data'!G339</f>
        <v>Completeness of provisional 2019 data under 90% after 6 months.</v>
      </c>
      <c r="I378" s="97">
        <v>14.7</v>
      </c>
      <c r="J378" s="97">
        <v>15.3</v>
      </c>
      <c r="K378" s="100"/>
      <c r="L378" s="98">
        <v>23</v>
      </c>
      <c r="M378" s="98">
        <v>29</v>
      </c>
      <c r="N378" s="98">
        <v>31</v>
      </c>
      <c r="O378" s="98">
        <v>35</v>
      </c>
      <c r="P378" s="98">
        <v>28</v>
      </c>
      <c r="Q378" s="98">
        <v>30</v>
      </c>
      <c r="R378" s="98">
        <v>35</v>
      </c>
      <c r="S378" s="98">
        <v>36</v>
      </c>
      <c r="T378" s="98">
        <v>32</v>
      </c>
      <c r="U378" s="98">
        <v>30</v>
      </c>
      <c r="V378" s="98">
        <v>33</v>
      </c>
      <c r="W378" s="98">
        <v>40</v>
      </c>
      <c r="X378" s="98">
        <v>42</v>
      </c>
      <c r="Y378" s="98">
        <v>41</v>
      </c>
      <c r="Z378" s="98">
        <v>42</v>
      </c>
      <c r="AA378" s="98">
        <v>30</v>
      </c>
      <c r="AB378" s="98">
        <v>29</v>
      </c>
      <c r="AC378" s="98">
        <v>26</v>
      </c>
      <c r="AD378" s="98">
        <v>14</v>
      </c>
      <c r="AE378" s="98">
        <v>12</v>
      </c>
      <c r="AF378" s="98">
        <v>14</v>
      </c>
      <c r="AG378" s="98">
        <v>15</v>
      </c>
    </row>
    <row r="379" spans="1:33" x14ac:dyDescent="0.3">
      <c r="A379" s="7">
        <v>374</v>
      </c>
      <c r="B379" s="7" t="s">
        <v>739</v>
      </c>
      <c r="C379" s="7" t="s">
        <v>239</v>
      </c>
      <c r="D379" s="8">
        <f>'CDC Source Data'!D103</f>
        <v>254997</v>
      </c>
      <c r="E379" s="8">
        <f>'CDC Source Data'!E103</f>
        <v>38</v>
      </c>
      <c r="F379" s="31">
        <f t="shared" si="5"/>
        <v>14.938899899411407</v>
      </c>
      <c r="G379" s="9">
        <f>'CDC Source Data'!F103</f>
        <v>0.14000000000000001</v>
      </c>
      <c r="H379" s="7">
        <f>'CDC Source Data'!G103</f>
        <v>0</v>
      </c>
      <c r="I379" s="97">
        <v>17</v>
      </c>
      <c r="J379" s="97">
        <v>17.7</v>
      </c>
      <c r="K379" s="98">
        <v>46</v>
      </c>
      <c r="L379" s="98">
        <v>51</v>
      </c>
      <c r="M379" s="98">
        <v>58</v>
      </c>
      <c r="N379" s="98">
        <v>59</v>
      </c>
      <c r="O379" s="98">
        <v>59</v>
      </c>
      <c r="P379" s="98">
        <v>58</v>
      </c>
      <c r="Q379" s="98">
        <v>58</v>
      </c>
      <c r="R379" s="98">
        <v>58</v>
      </c>
      <c r="S379" s="98">
        <v>60</v>
      </c>
      <c r="T379" s="98">
        <v>65</v>
      </c>
      <c r="U379" s="98">
        <v>64</v>
      </c>
      <c r="V379" s="98">
        <v>69</v>
      </c>
      <c r="W379" s="98">
        <v>73</v>
      </c>
      <c r="X379" s="98">
        <v>73</v>
      </c>
      <c r="Y379" s="98">
        <v>70</v>
      </c>
      <c r="Z379" s="98">
        <v>70</v>
      </c>
      <c r="AA379" s="98">
        <v>61</v>
      </c>
      <c r="AB379" s="98">
        <v>57</v>
      </c>
      <c r="AC379" s="98">
        <v>50</v>
      </c>
      <c r="AD379" s="98">
        <v>41</v>
      </c>
      <c r="AE379" s="98">
        <v>47</v>
      </c>
      <c r="AF379" s="98">
        <v>39</v>
      </c>
      <c r="AG379" s="98">
        <v>38</v>
      </c>
    </row>
    <row r="380" spans="1:33" x14ac:dyDescent="0.3">
      <c r="A380" s="7">
        <v>375</v>
      </c>
      <c r="B380" s="7" t="s">
        <v>736</v>
      </c>
      <c r="C380" s="7" t="s">
        <v>15</v>
      </c>
      <c r="D380" s="8">
        <f>'CDC Source Data'!D418</f>
        <v>3170435</v>
      </c>
      <c r="E380" s="8">
        <f>'CDC Source Data'!E418</f>
        <v>472</v>
      </c>
      <c r="F380" s="31">
        <f t="shared" si="5"/>
        <v>14.902136103562002</v>
      </c>
      <c r="G380" s="9">
        <f>'CDC Source Data'!F418</f>
        <v>0.22</v>
      </c>
      <c r="H380" s="7" t="str">
        <f>'CDC Source Data'!G418</f>
        <v>Completeness of provisional 2019 data under 90% after 6 months.</v>
      </c>
      <c r="I380" s="97">
        <v>15.8</v>
      </c>
      <c r="J380" s="97">
        <v>16.5</v>
      </c>
      <c r="K380" s="98">
        <v>431</v>
      </c>
      <c r="L380" s="98">
        <v>495</v>
      </c>
      <c r="M380" s="98">
        <v>587</v>
      </c>
      <c r="N380" s="98">
        <v>653</v>
      </c>
      <c r="O380" s="98">
        <v>756</v>
      </c>
      <c r="P380" s="98">
        <v>815</v>
      </c>
      <c r="Q380" s="98">
        <v>864</v>
      </c>
      <c r="R380" s="98">
        <v>932</v>
      </c>
      <c r="S380" s="98">
        <v>911</v>
      </c>
      <c r="T380" s="98">
        <v>879</v>
      </c>
      <c r="U380" s="98">
        <v>855</v>
      </c>
      <c r="V380" s="98">
        <v>809</v>
      </c>
      <c r="W380" s="98">
        <v>798</v>
      </c>
      <c r="X380" s="98">
        <v>799</v>
      </c>
      <c r="Y380" s="98">
        <v>793</v>
      </c>
      <c r="Z380" s="98">
        <v>761</v>
      </c>
      <c r="AA380" s="98">
        <v>730</v>
      </c>
      <c r="AB380" s="98">
        <v>681</v>
      </c>
      <c r="AC380" s="98">
        <v>628</v>
      </c>
      <c r="AD380" s="98">
        <v>580</v>
      </c>
      <c r="AE380" s="98">
        <v>544</v>
      </c>
      <c r="AF380" s="98">
        <v>535</v>
      </c>
      <c r="AG380" s="98">
        <v>472</v>
      </c>
    </row>
    <row r="381" spans="1:33" x14ac:dyDescent="0.3">
      <c r="A381" s="7">
        <v>376</v>
      </c>
      <c r="B381" s="7" t="s">
        <v>740</v>
      </c>
      <c r="C381" s="7" t="s">
        <v>50</v>
      </c>
      <c r="D381" s="8">
        <f>'CDC Source Data'!D550</f>
        <v>154693</v>
      </c>
      <c r="E381" s="8">
        <f>'CDC Source Data'!E550</f>
        <v>23</v>
      </c>
      <c r="F381" s="31">
        <f t="shared" si="5"/>
        <v>14.887546976992114</v>
      </c>
      <c r="G381" s="9">
        <f>'CDC Source Data'!F550</f>
        <v>0</v>
      </c>
      <c r="H381" s="7">
        <f>'CDC Source Data'!G550</f>
        <v>0</v>
      </c>
      <c r="I381" s="97">
        <v>14.1</v>
      </c>
      <c r="J381" s="97">
        <v>14.7</v>
      </c>
      <c r="K381" s="98">
        <v>23</v>
      </c>
      <c r="L381" s="98">
        <v>31</v>
      </c>
      <c r="M381" s="98">
        <v>32</v>
      </c>
      <c r="N381" s="98">
        <v>30</v>
      </c>
      <c r="O381" s="98">
        <v>30</v>
      </c>
      <c r="P381" s="98">
        <v>29</v>
      </c>
      <c r="Q381" s="98">
        <v>31</v>
      </c>
      <c r="R381" s="98">
        <v>33</v>
      </c>
      <c r="S381" s="98">
        <v>35</v>
      </c>
      <c r="T381" s="98">
        <v>30</v>
      </c>
      <c r="U381" s="98">
        <v>29</v>
      </c>
      <c r="V381" s="98">
        <v>37</v>
      </c>
      <c r="W381" s="98">
        <v>38</v>
      </c>
      <c r="X381" s="98">
        <v>42</v>
      </c>
      <c r="Y381" s="98">
        <v>43</v>
      </c>
      <c r="Z381" s="98">
        <v>33</v>
      </c>
      <c r="AA381" s="98">
        <v>36</v>
      </c>
      <c r="AB381" s="98">
        <v>35</v>
      </c>
      <c r="AC381" s="98">
        <v>29</v>
      </c>
      <c r="AD381" s="98">
        <v>30</v>
      </c>
      <c r="AE381" s="98">
        <v>21</v>
      </c>
      <c r="AF381" s="98">
        <v>20</v>
      </c>
      <c r="AG381" s="98">
        <v>23</v>
      </c>
    </row>
    <row r="382" spans="1:33" x14ac:dyDescent="0.3">
      <c r="A382" s="7">
        <v>377</v>
      </c>
      <c r="B382" s="7" t="s">
        <v>741</v>
      </c>
      <c r="C382" s="7" t="s">
        <v>38</v>
      </c>
      <c r="D382" s="8">
        <f>'CDC Source Data'!D142</f>
        <v>588347</v>
      </c>
      <c r="E382" s="8">
        <f>'CDC Source Data'!E142</f>
        <v>87</v>
      </c>
      <c r="F382" s="31">
        <f t="shared" si="5"/>
        <v>14.86815822306116</v>
      </c>
      <c r="G382" s="9">
        <f>'CDC Source Data'!F142</f>
        <v>0.41</v>
      </c>
      <c r="H382" s="7">
        <f>'CDC Source Data'!G142</f>
        <v>0</v>
      </c>
      <c r="I382" s="97">
        <v>19.899999999999999</v>
      </c>
      <c r="J382" s="97">
        <v>20.8</v>
      </c>
      <c r="K382" s="98">
        <v>130</v>
      </c>
      <c r="L382" s="98">
        <v>144</v>
      </c>
      <c r="M382" s="98">
        <v>148</v>
      </c>
      <c r="N382" s="98">
        <v>139</v>
      </c>
      <c r="O382" s="98">
        <v>152</v>
      </c>
      <c r="P382" s="98">
        <v>160</v>
      </c>
      <c r="Q382" s="98">
        <v>171</v>
      </c>
      <c r="R382" s="98">
        <v>167</v>
      </c>
      <c r="S382" s="98">
        <v>173</v>
      </c>
      <c r="T382" s="98">
        <v>157</v>
      </c>
      <c r="U382" s="98">
        <v>142</v>
      </c>
      <c r="V382" s="98">
        <v>145</v>
      </c>
      <c r="W382" s="98">
        <v>135</v>
      </c>
      <c r="X382" s="98">
        <v>141</v>
      </c>
      <c r="Y382" s="98">
        <v>149</v>
      </c>
      <c r="Z382" s="98">
        <v>150</v>
      </c>
      <c r="AA382" s="98">
        <v>147</v>
      </c>
      <c r="AB382" s="98">
        <v>133</v>
      </c>
      <c r="AC382" s="98">
        <v>128</v>
      </c>
      <c r="AD382" s="98">
        <v>121</v>
      </c>
      <c r="AE382" s="98">
        <v>103</v>
      </c>
      <c r="AF382" s="98">
        <v>96</v>
      </c>
      <c r="AG382" s="98">
        <v>87</v>
      </c>
    </row>
    <row r="383" spans="1:33" x14ac:dyDescent="0.3">
      <c r="A383" s="7">
        <v>378</v>
      </c>
      <c r="B383" s="7" t="s">
        <v>742</v>
      </c>
      <c r="C383" s="7" t="s">
        <v>604</v>
      </c>
      <c r="D383" s="8">
        <f>'CDC Source Data'!D316</f>
        <v>115042</v>
      </c>
      <c r="E383" s="8">
        <f>'CDC Source Data'!E316</f>
        <v>17</v>
      </c>
      <c r="F383" s="31">
        <f t="shared" si="5"/>
        <v>14.787191912255864</v>
      </c>
      <c r="G383" s="9">
        <f>'CDC Source Data'!F316</f>
        <v>0</v>
      </c>
      <c r="H383" s="7">
        <f>'CDC Source Data'!G316</f>
        <v>0</v>
      </c>
      <c r="I383" s="97">
        <v>20.7</v>
      </c>
      <c r="J383" s="97">
        <v>21.6</v>
      </c>
      <c r="K383" s="98">
        <v>11</v>
      </c>
      <c r="L383" s="98">
        <v>12</v>
      </c>
      <c r="M383" s="98">
        <v>15</v>
      </c>
      <c r="N383" s="98">
        <v>17</v>
      </c>
      <c r="O383" s="98">
        <v>20</v>
      </c>
      <c r="P383" s="98">
        <v>19</v>
      </c>
      <c r="Q383" s="98">
        <v>24</v>
      </c>
      <c r="R383" s="98">
        <v>27</v>
      </c>
      <c r="S383" s="98">
        <v>27</v>
      </c>
      <c r="T383" s="98">
        <v>29</v>
      </c>
      <c r="U383" s="98">
        <v>24</v>
      </c>
      <c r="V383" s="98">
        <v>25</v>
      </c>
      <c r="W383" s="98">
        <v>25</v>
      </c>
      <c r="X383" s="98">
        <v>30</v>
      </c>
      <c r="Y383" s="98">
        <v>37</v>
      </c>
      <c r="Z383" s="98">
        <v>31</v>
      </c>
      <c r="AA383" s="98">
        <v>33</v>
      </c>
      <c r="AB383" s="98">
        <v>27</v>
      </c>
      <c r="AC383" s="98">
        <v>21</v>
      </c>
      <c r="AD383" s="98">
        <v>20</v>
      </c>
      <c r="AE383" s="98">
        <v>18</v>
      </c>
      <c r="AF383" s="98">
        <v>15</v>
      </c>
      <c r="AG383" s="98">
        <v>17</v>
      </c>
    </row>
    <row r="384" spans="1:33" x14ac:dyDescent="0.3">
      <c r="A384" s="7">
        <v>379</v>
      </c>
      <c r="B384" s="7" t="s">
        <v>743</v>
      </c>
      <c r="C384" s="7" t="s">
        <v>467</v>
      </c>
      <c r="D384" s="8">
        <f>'CDC Source Data'!D386</f>
        <v>108417</v>
      </c>
      <c r="E384" s="8">
        <f>'CDC Source Data'!E386</f>
        <v>16</v>
      </c>
      <c r="F384" s="31">
        <f t="shared" si="5"/>
        <v>14.777211800907496</v>
      </c>
      <c r="G384" s="9">
        <f>'CDC Source Data'!F386</f>
        <v>1.1100000000000001</v>
      </c>
      <c r="H384" s="7" t="str">
        <f>'CDC Source Data'!G386</f>
        <v>Completeness of provisional 2019 data under 90% after 6 months.</v>
      </c>
      <c r="I384" s="97">
        <v>18.2</v>
      </c>
      <c r="J384" s="97">
        <v>19</v>
      </c>
      <c r="K384" s="98">
        <v>28</v>
      </c>
      <c r="L384" s="98">
        <v>27</v>
      </c>
      <c r="M384" s="98">
        <v>21</v>
      </c>
      <c r="N384" s="98">
        <v>23</v>
      </c>
      <c r="O384" s="98">
        <v>23</v>
      </c>
      <c r="P384" s="98">
        <v>26</v>
      </c>
      <c r="Q384" s="98">
        <v>25</v>
      </c>
      <c r="R384" s="98">
        <v>30</v>
      </c>
      <c r="S384" s="98">
        <v>32</v>
      </c>
      <c r="T384" s="98">
        <v>39</v>
      </c>
      <c r="U384" s="98">
        <v>43</v>
      </c>
      <c r="V384" s="98">
        <v>50</v>
      </c>
      <c r="W384" s="98">
        <v>52</v>
      </c>
      <c r="X384" s="98">
        <v>49</v>
      </c>
      <c r="Y384" s="98">
        <v>48</v>
      </c>
      <c r="Z384" s="98">
        <v>31</v>
      </c>
      <c r="AA384" s="98">
        <v>21</v>
      </c>
      <c r="AB384" s="98">
        <v>18</v>
      </c>
      <c r="AC384" s="98">
        <v>18</v>
      </c>
      <c r="AD384" s="98">
        <v>21</v>
      </c>
      <c r="AE384" s="98">
        <v>24</v>
      </c>
      <c r="AF384" s="98">
        <v>20</v>
      </c>
      <c r="AG384" s="98">
        <v>16</v>
      </c>
    </row>
    <row r="385" spans="1:33" x14ac:dyDescent="0.3">
      <c r="A385" s="7">
        <v>380</v>
      </c>
      <c r="B385" s="7" t="s">
        <v>744</v>
      </c>
      <c r="C385" s="7" t="s">
        <v>15</v>
      </c>
      <c r="D385" s="8">
        <f>'CDC Source Data'!D443</f>
        <v>433822</v>
      </c>
      <c r="E385" s="8">
        <f>'CDC Source Data'!E443</f>
        <v>64</v>
      </c>
      <c r="F385" s="31">
        <f t="shared" si="5"/>
        <v>14.757833181143178</v>
      </c>
      <c r="G385" s="9">
        <f>'CDC Source Data'!F443</f>
        <v>0.11</v>
      </c>
      <c r="H385" s="7" t="str">
        <f>'CDC Source Data'!G443</f>
        <v>Completeness of provisional 2019 data under 90% after 6 months.</v>
      </c>
      <c r="I385" s="97">
        <v>15.7</v>
      </c>
      <c r="J385" s="97">
        <v>16.3</v>
      </c>
      <c r="K385" s="98">
        <v>62</v>
      </c>
      <c r="L385" s="98">
        <v>64</v>
      </c>
      <c r="M385" s="98">
        <v>60</v>
      </c>
      <c r="N385" s="98">
        <v>67</v>
      </c>
      <c r="O385" s="98">
        <v>75</v>
      </c>
      <c r="P385" s="98">
        <v>69</v>
      </c>
      <c r="Q385" s="98">
        <v>75</v>
      </c>
      <c r="R385" s="98">
        <v>78</v>
      </c>
      <c r="S385" s="98">
        <v>73</v>
      </c>
      <c r="T385" s="98">
        <v>77</v>
      </c>
      <c r="U385" s="98">
        <v>77</v>
      </c>
      <c r="V385" s="98">
        <v>88</v>
      </c>
      <c r="W385" s="98">
        <v>91</v>
      </c>
      <c r="X385" s="98">
        <v>90</v>
      </c>
      <c r="Y385" s="98">
        <v>89</v>
      </c>
      <c r="Z385" s="98">
        <v>78</v>
      </c>
      <c r="AA385" s="98">
        <v>73</v>
      </c>
      <c r="AB385" s="98">
        <v>74</v>
      </c>
      <c r="AC385" s="98">
        <v>68</v>
      </c>
      <c r="AD385" s="98">
        <v>65</v>
      </c>
      <c r="AE385" s="98">
        <v>59</v>
      </c>
      <c r="AF385" s="98">
        <v>63</v>
      </c>
      <c r="AG385" s="98">
        <v>64</v>
      </c>
    </row>
    <row r="386" spans="1:33" x14ac:dyDescent="0.3">
      <c r="A386" s="7">
        <v>381</v>
      </c>
      <c r="B386" s="7" t="s">
        <v>496</v>
      </c>
      <c r="C386" s="7" t="s">
        <v>17</v>
      </c>
      <c r="D386" s="8">
        <f>'CDC Source Data'!D159</f>
        <v>393995</v>
      </c>
      <c r="E386" s="8">
        <f>'CDC Source Data'!E159</f>
        <v>58</v>
      </c>
      <c r="F386" s="31">
        <f t="shared" si="5"/>
        <v>14.752594382027651</v>
      </c>
      <c r="G386" s="9">
        <f>'CDC Source Data'!F159</f>
        <v>0</v>
      </c>
      <c r="H386" s="7">
        <f>'CDC Source Data'!G159</f>
        <v>0</v>
      </c>
      <c r="I386" s="97">
        <v>10.5</v>
      </c>
      <c r="J386" s="97">
        <v>10.9</v>
      </c>
      <c r="K386" s="98">
        <v>35</v>
      </c>
      <c r="L386" s="98">
        <v>35</v>
      </c>
      <c r="M386" s="98">
        <v>48</v>
      </c>
      <c r="N386" s="98">
        <v>48</v>
      </c>
      <c r="O386" s="98">
        <v>46</v>
      </c>
      <c r="P386" s="98">
        <v>51</v>
      </c>
      <c r="Q386" s="98">
        <v>45</v>
      </c>
      <c r="R386" s="98">
        <v>42</v>
      </c>
      <c r="S386" s="98">
        <v>46</v>
      </c>
      <c r="T386" s="98">
        <v>43</v>
      </c>
      <c r="U386" s="98">
        <v>39</v>
      </c>
      <c r="V386" s="98">
        <v>43</v>
      </c>
      <c r="W386" s="98">
        <v>45</v>
      </c>
      <c r="X386" s="98">
        <v>46</v>
      </c>
      <c r="Y386" s="98">
        <v>47</v>
      </c>
      <c r="Z386" s="98">
        <v>51</v>
      </c>
      <c r="AA386" s="98">
        <v>40</v>
      </c>
      <c r="AB386" s="98">
        <v>47</v>
      </c>
      <c r="AC386" s="98">
        <v>43</v>
      </c>
      <c r="AD386" s="98">
        <v>40</v>
      </c>
      <c r="AE386" s="98">
        <v>52</v>
      </c>
      <c r="AF386" s="98">
        <v>44</v>
      </c>
      <c r="AG386" s="98">
        <v>58</v>
      </c>
    </row>
    <row r="387" spans="1:33" x14ac:dyDescent="0.3">
      <c r="A387" s="7">
        <v>382</v>
      </c>
      <c r="B387" s="7" t="s">
        <v>745</v>
      </c>
      <c r="C387" s="7" t="s">
        <v>11</v>
      </c>
      <c r="D387" s="8">
        <f>'CDC Source Data'!D229</f>
        <v>265514</v>
      </c>
      <c r="E387" s="8">
        <f>'CDC Source Data'!E229</f>
        <v>39</v>
      </c>
      <c r="F387" s="31">
        <f t="shared" si="5"/>
        <v>14.720998997449206</v>
      </c>
      <c r="G387" s="9">
        <f>'CDC Source Data'!F229</f>
        <v>0.08</v>
      </c>
      <c r="H387" s="7" t="str">
        <f>'CDC Source Data'!G229</f>
        <v>Completeness of provisional 2019 data under 90% after 6 months.</v>
      </c>
      <c r="I387" s="97">
        <v>31.3</v>
      </c>
      <c r="J387" s="97">
        <v>32.700000000000003</v>
      </c>
      <c r="K387" s="98">
        <v>102</v>
      </c>
      <c r="L387" s="98">
        <v>97</v>
      </c>
      <c r="M387" s="98">
        <v>99</v>
      </c>
      <c r="N387" s="98">
        <v>105</v>
      </c>
      <c r="O387" s="98">
        <v>113</v>
      </c>
      <c r="P387" s="98">
        <v>123</v>
      </c>
      <c r="Q387" s="98">
        <v>119</v>
      </c>
      <c r="R387" s="98">
        <v>113</v>
      </c>
      <c r="S387" s="98">
        <v>112</v>
      </c>
      <c r="T387" s="98">
        <v>107</v>
      </c>
      <c r="U387" s="98">
        <v>112</v>
      </c>
      <c r="V387" s="98">
        <v>116</v>
      </c>
      <c r="W387" s="98">
        <v>105</v>
      </c>
      <c r="X387" s="98">
        <v>106</v>
      </c>
      <c r="Y387" s="98">
        <v>98</v>
      </c>
      <c r="Z387" s="98">
        <v>88</v>
      </c>
      <c r="AA387" s="98">
        <v>81</v>
      </c>
      <c r="AB387" s="98">
        <v>75</v>
      </c>
      <c r="AC387" s="98">
        <v>71</v>
      </c>
      <c r="AD387" s="98">
        <v>55</v>
      </c>
      <c r="AE387" s="98">
        <v>48</v>
      </c>
      <c r="AF387" s="98">
        <v>39</v>
      </c>
      <c r="AG387" s="98">
        <v>39</v>
      </c>
    </row>
    <row r="388" spans="1:33" x14ac:dyDescent="0.3">
      <c r="A388" s="7">
        <v>383</v>
      </c>
      <c r="B388" s="7" t="s">
        <v>533</v>
      </c>
      <c r="C388" s="7" t="s">
        <v>627</v>
      </c>
      <c r="D388" s="8">
        <f>'CDC Source Data'!D319</f>
        <v>231762</v>
      </c>
      <c r="E388" s="8">
        <f>'CDC Source Data'!E319</f>
        <v>34</v>
      </c>
      <c r="F388" s="31">
        <f t="shared" si="5"/>
        <v>14.68849100235769</v>
      </c>
      <c r="G388" s="9">
        <f>'CDC Source Data'!F319</f>
        <v>0.09</v>
      </c>
      <c r="H388" s="7">
        <f>'CDC Source Data'!G319</f>
        <v>0</v>
      </c>
      <c r="I388" s="97">
        <v>13.9</v>
      </c>
      <c r="J388" s="97">
        <v>14.5</v>
      </c>
      <c r="K388" s="98">
        <v>39</v>
      </c>
      <c r="L388" s="98">
        <v>48</v>
      </c>
      <c r="M388" s="98">
        <v>55</v>
      </c>
      <c r="N388" s="98">
        <v>54</v>
      </c>
      <c r="O388" s="98">
        <v>48</v>
      </c>
      <c r="P388" s="98">
        <v>42</v>
      </c>
      <c r="Q388" s="98">
        <v>34</v>
      </c>
      <c r="R388" s="98">
        <v>32</v>
      </c>
      <c r="S388" s="98">
        <v>39</v>
      </c>
      <c r="T388" s="98">
        <v>38</v>
      </c>
      <c r="U388" s="98">
        <v>38</v>
      </c>
      <c r="V388" s="98">
        <v>41</v>
      </c>
      <c r="W388" s="98">
        <v>38</v>
      </c>
      <c r="X388" s="98">
        <v>41</v>
      </c>
      <c r="Y388" s="98">
        <v>44</v>
      </c>
      <c r="Z388" s="98">
        <v>37</v>
      </c>
      <c r="AA388" s="98">
        <v>31</v>
      </c>
      <c r="AB388" s="98">
        <v>28</v>
      </c>
      <c r="AC388" s="98">
        <v>20</v>
      </c>
      <c r="AD388" s="98">
        <v>21</v>
      </c>
      <c r="AE388" s="98">
        <v>28</v>
      </c>
      <c r="AF388" s="98">
        <v>25</v>
      </c>
      <c r="AG388" s="98">
        <v>34</v>
      </c>
    </row>
    <row r="389" spans="1:33" x14ac:dyDescent="0.3">
      <c r="A389" s="7">
        <v>384</v>
      </c>
      <c r="B389" s="7" t="s">
        <v>746</v>
      </c>
      <c r="C389" s="7" t="s">
        <v>50</v>
      </c>
      <c r="D389" s="8">
        <f>'CDC Source Data'!D190</f>
        <v>136744</v>
      </c>
      <c r="E389" s="8">
        <f>'CDC Source Data'!E190</f>
        <v>20</v>
      </c>
      <c r="F389" s="31">
        <f t="shared" si="5"/>
        <v>14.670222038125317</v>
      </c>
      <c r="G389" s="9">
        <f>'CDC Source Data'!F190</f>
        <v>0</v>
      </c>
      <c r="H389" s="7">
        <f>'CDC Source Data'!G190</f>
        <v>0</v>
      </c>
      <c r="I389" s="97">
        <v>19.399999999999999</v>
      </c>
      <c r="J389" s="97">
        <v>20.3</v>
      </c>
      <c r="K389" s="98">
        <v>31</v>
      </c>
      <c r="L389" s="98">
        <v>42</v>
      </c>
      <c r="M389" s="98">
        <v>55</v>
      </c>
      <c r="N389" s="98">
        <v>48</v>
      </c>
      <c r="O389" s="98">
        <v>50</v>
      </c>
      <c r="P389" s="98">
        <v>43</v>
      </c>
      <c r="Q389" s="98">
        <v>30</v>
      </c>
      <c r="R389" s="98">
        <v>29</v>
      </c>
      <c r="S389" s="98">
        <v>29</v>
      </c>
      <c r="T389" s="98">
        <v>37</v>
      </c>
      <c r="U389" s="98">
        <v>40</v>
      </c>
      <c r="V389" s="98">
        <v>43</v>
      </c>
      <c r="W389" s="98">
        <v>46</v>
      </c>
      <c r="X389" s="98">
        <v>34</v>
      </c>
      <c r="Y389" s="98">
        <v>37</v>
      </c>
      <c r="Z389" s="98">
        <v>35</v>
      </c>
      <c r="AA389" s="98">
        <v>26</v>
      </c>
      <c r="AB389" s="98">
        <v>27</v>
      </c>
      <c r="AC389" s="98">
        <v>19</v>
      </c>
      <c r="AD389" s="98">
        <v>19</v>
      </c>
      <c r="AE389" s="98">
        <v>25</v>
      </c>
      <c r="AF389" s="98">
        <v>20</v>
      </c>
      <c r="AG389" s="98">
        <v>20</v>
      </c>
    </row>
    <row r="390" spans="1:33" x14ac:dyDescent="0.3">
      <c r="A390" s="7">
        <v>385</v>
      </c>
      <c r="B390" s="7" t="s">
        <v>747</v>
      </c>
      <c r="C390" s="7" t="s">
        <v>453</v>
      </c>
      <c r="D390" s="8">
        <f>'CDC Source Data'!D32</f>
        <v>232570</v>
      </c>
      <c r="E390" s="8">
        <f>'CDC Source Data'!E32</f>
        <v>34</v>
      </c>
      <c r="F390" s="31">
        <f t="shared" ref="F390:F453" si="6">IFERROR(E389/D389*100000,"")</f>
        <v>14.625870239279235</v>
      </c>
      <c r="G390" s="9">
        <f>'CDC Source Data'!F32</f>
        <v>0.03</v>
      </c>
      <c r="H390" s="7" t="str">
        <f>'CDC Source Data'!G32</f>
        <v>Completeness of provisional 2019 data under 90% after 6 months.</v>
      </c>
      <c r="I390" s="97">
        <v>30.6</v>
      </c>
      <c r="J390" s="97">
        <v>31.9</v>
      </c>
      <c r="K390" s="98">
        <v>70</v>
      </c>
      <c r="L390" s="98">
        <v>78</v>
      </c>
      <c r="M390" s="98">
        <v>85</v>
      </c>
      <c r="N390" s="98">
        <v>82</v>
      </c>
      <c r="O390" s="98">
        <v>92</v>
      </c>
      <c r="P390" s="98">
        <v>88</v>
      </c>
      <c r="Q390" s="98">
        <v>89</v>
      </c>
      <c r="R390" s="98">
        <v>95</v>
      </c>
      <c r="S390" s="98">
        <v>96</v>
      </c>
      <c r="T390" s="98">
        <v>108</v>
      </c>
      <c r="U390" s="98">
        <v>103</v>
      </c>
      <c r="V390" s="98">
        <v>101</v>
      </c>
      <c r="W390" s="98">
        <v>91</v>
      </c>
      <c r="X390" s="98">
        <v>84</v>
      </c>
      <c r="Y390" s="98">
        <v>80</v>
      </c>
      <c r="Z390" s="98">
        <v>76</v>
      </c>
      <c r="AA390" s="98">
        <v>73</v>
      </c>
      <c r="AB390" s="98">
        <v>60</v>
      </c>
      <c r="AC390" s="98">
        <v>58</v>
      </c>
      <c r="AD390" s="98">
        <v>49</v>
      </c>
      <c r="AE390" s="98">
        <v>42</v>
      </c>
      <c r="AF390" s="98">
        <v>37</v>
      </c>
      <c r="AG390" s="98">
        <v>34</v>
      </c>
    </row>
    <row r="391" spans="1:33" x14ac:dyDescent="0.3">
      <c r="A391" s="7">
        <v>386</v>
      </c>
      <c r="B391" s="7" t="s">
        <v>748</v>
      </c>
      <c r="C391" s="7" t="s">
        <v>480</v>
      </c>
      <c r="D391" s="8">
        <f>'CDC Source Data'!D170</f>
        <v>109494</v>
      </c>
      <c r="E391" s="8">
        <f>'CDC Source Data'!E170</f>
        <v>16</v>
      </c>
      <c r="F391" s="31">
        <f t="shared" si="6"/>
        <v>14.61925441802468</v>
      </c>
      <c r="G391" s="9">
        <f>'CDC Source Data'!F170</f>
        <v>0</v>
      </c>
      <c r="H391" s="7" t="str">
        <f>'CDC Source Data'!G170</f>
        <v>Completeness of provisional 2019 data under 90% after 6 months.</v>
      </c>
      <c r="I391" s="97">
        <v>17.5</v>
      </c>
      <c r="J391" s="97">
        <v>18.3</v>
      </c>
      <c r="K391" s="98">
        <v>17</v>
      </c>
      <c r="L391" s="98">
        <v>18</v>
      </c>
      <c r="M391" s="98">
        <v>24</v>
      </c>
      <c r="N391" s="98">
        <v>25</v>
      </c>
      <c r="O391" s="98">
        <v>28</v>
      </c>
      <c r="P391" s="98">
        <v>25</v>
      </c>
      <c r="Q391" s="98">
        <v>19</v>
      </c>
      <c r="R391" s="98">
        <v>26</v>
      </c>
      <c r="S391" s="98">
        <v>24</v>
      </c>
      <c r="T391" s="98">
        <v>30</v>
      </c>
      <c r="U391" s="98">
        <v>34</v>
      </c>
      <c r="V391" s="98">
        <v>26</v>
      </c>
      <c r="W391" s="98">
        <v>25</v>
      </c>
      <c r="X391" s="98">
        <v>23</v>
      </c>
      <c r="Y391" s="98">
        <v>21</v>
      </c>
      <c r="Z391" s="98">
        <v>23</v>
      </c>
      <c r="AA391" s="98">
        <v>22</v>
      </c>
      <c r="AB391" s="98">
        <v>19</v>
      </c>
      <c r="AC391" s="98">
        <v>14</v>
      </c>
      <c r="AD391" s="98">
        <v>11</v>
      </c>
      <c r="AE391" s="98">
        <v>12</v>
      </c>
      <c r="AF391" s="98">
        <v>13</v>
      </c>
      <c r="AG391" s="98">
        <v>16</v>
      </c>
    </row>
    <row r="392" spans="1:33" x14ac:dyDescent="0.3">
      <c r="A392" s="7">
        <v>387</v>
      </c>
      <c r="B392" s="7" t="s">
        <v>749</v>
      </c>
      <c r="C392" s="7" t="s">
        <v>475</v>
      </c>
      <c r="D392" s="8">
        <f>'CDC Source Data'!D24</f>
        <v>376840</v>
      </c>
      <c r="E392" s="8">
        <f>'CDC Source Data'!E24</f>
        <v>55</v>
      </c>
      <c r="F392" s="31">
        <f t="shared" si="6"/>
        <v>14.612672840520942</v>
      </c>
      <c r="G392" s="9">
        <f>'CDC Source Data'!F24</f>
        <v>0</v>
      </c>
      <c r="H392" s="7">
        <f>'CDC Source Data'!G24</f>
        <v>0</v>
      </c>
      <c r="I392" s="97">
        <v>13.5</v>
      </c>
      <c r="J392" s="97">
        <v>14.1</v>
      </c>
      <c r="K392" s="98">
        <v>51</v>
      </c>
      <c r="L392" s="98">
        <v>55</v>
      </c>
      <c r="M392" s="98">
        <v>54</v>
      </c>
      <c r="N392" s="98">
        <v>57</v>
      </c>
      <c r="O392" s="98">
        <v>67</v>
      </c>
      <c r="P392" s="98">
        <v>74</v>
      </c>
      <c r="Q392" s="98">
        <v>82</v>
      </c>
      <c r="R392" s="98">
        <v>82</v>
      </c>
      <c r="S392" s="98">
        <v>78</v>
      </c>
      <c r="T392" s="98">
        <v>75</v>
      </c>
      <c r="U392" s="98">
        <v>78</v>
      </c>
      <c r="V392" s="98">
        <v>82</v>
      </c>
      <c r="W392" s="98">
        <v>74</v>
      </c>
      <c r="X392" s="98">
        <v>68</v>
      </c>
      <c r="Y392" s="98">
        <v>61</v>
      </c>
      <c r="Z392" s="98">
        <v>60</v>
      </c>
      <c r="AA392" s="98">
        <v>61</v>
      </c>
      <c r="AB392" s="98">
        <v>58</v>
      </c>
      <c r="AC392" s="98">
        <v>55</v>
      </c>
      <c r="AD392" s="98">
        <v>50</v>
      </c>
      <c r="AE392" s="98">
        <v>52</v>
      </c>
      <c r="AF392" s="98">
        <v>54</v>
      </c>
      <c r="AG392" s="98">
        <v>55</v>
      </c>
    </row>
    <row r="393" spans="1:33" x14ac:dyDescent="0.3">
      <c r="A393" s="7">
        <v>388</v>
      </c>
      <c r="B393" s="7" t="s">
        <v>750</v>
      </c>
      <c r="C393" s="7" t="s">
        <v>50</v>
      </c>
      <c r="D393" s="8">
        <f>'CDC Source Data'!D242</f>
        <v>109778</v>
      </c>
      <c r="E393" s="8">
        <f>'CDC Source Data'!E242</f>
        <v>16</v>
      </c>
      <c r="F393" s="31">
        <f t="shared" si="6"/>
        <v>14.595053603651417</v>
      </c>
      <c r="G393" s="9">
        <f>'CDC Source Data'!F242</f>
        <v>0.06</v>
      </c>
      <c r="H393" s="7" t="str">
        <f>'CDC Source Data'!G242</f>
        <v>Completeness of provisional 2019 data under 90% after 6 months.</v>
      </c>
      <c r="I393" s="97">
        <v>23</v>
      </c>
      <c r="J393" s="97">
        <v>24</v>
      </c>
      <c r="K393" s="98">
        <v>32</v>
      </c>
      <c r="L393" s="98">
        <v>30</v>
      </c>
      <c r="M393" s="98">
        <v>41</v>
      </c>
      <c r="N393" s="98">
        <v>46</v>
      </c>
      <c r="O393" s="98">
        <v>38</v>
      </c>
      <c r="P393" s="98">
        <v>44</v>
      </c>
      <c r="Q393" s="98">
        <v>42</v>
      </c>
      <c r="R393" s="98">
        <v>37</v>
      </c>
      <c r="S393" s="98">
        <v>42</v>
      </c>
      <c r="T393" s="98">
        <v>32</v>
      </c>
      <c r="U393" s="98">
        <v>29</v>
      </c>
      <c r="V393" s="98">
        <v>31</v>
      </c>
      <c r="W393" s="98">
        <v>28</v>
      </c>
      <c r="X393" s="98">
        <v>25</v>
      </c>
      <c r="Y393" s="98">
        <v>22</v>
      </c>
      <c r="Z393" s="98">
        <v>22</v>
      </c>
      <c r="AA393" s="98">
        <v>26</v>
      </c>
      <c r="AB393" s="98">
        <v>29</v>
      </c>
      <c r="AC393" s="98">
        <v>25</v>
      </c>
      <c r="AD393" s="98">
        <v>21</v>
      </c>
      <c r="AE393" s="98">
        <v>17</v>
      </c>
      <c r="AF393" s="98">
        <v>12</v>
      </c>
      <c r="AG393" s="98">
        <v>16</v>
      </c>
    </row>
    <row r="394" spans="1:33" x14ac:dyDescent="0.3">
      <c r="A394" s="7">
        <v>389</v>
      </c>
      <c r="B394" s="7" t="s">
        <v>751</v>
      </c>
      <c r="C394" s="7" t="s">
        <v>19</v>
      </c>
      <c r="D394" s="8">
        <f>'CDC Source Data'!D406</f>
        <v>322989</v>
      </c>
      <c r="E394" s="8">
        <f>'CDC Source Data'!E406</f>
        <v>47</v>
      </c>
      <c r="F394" s="31">
        <f t="shared" si="6"/>
        <v>14.57486928164113</v>
      </c>
      <c r="G394" s="9">
        <f>'CDC Source Data'!F406</f>
        <v>0.25</v>
      </c>
      <c r="H394" s="7" t="str">
        <f>'CDC Source Data'!G406</f>
        <v>Completeness of provisional 2019 data under 90% after 6 months.</v>
      </c>
      <c r="I394" s="97">
        <v>24.7</v>
      </c>
      <c r="J394" s="97">
        <v>25.7</v>
      </c>
      <c r="K394" s="98">
        <v>76</v>
      </c>
      <c r="L394" s="98">
        <v>101</v>
      </c>
      <c r="M394" s="98">
        <v>117</v>
      </c>
      <c r="N394" s="98">
        <v>110</v>
      </c>
      <c r="O394" s="98">
        <v>114</v>
      </c>
      <c r="P394" s="98">
        <v>114</v>
      </c>
      <c r="Q394" s="98">
        <v>119</v>
      </c>
      <c r="R394" s="98">
        <v>117</v>
      </c>
      <c r="S394" s="98">
        <v>117</v>
      </c>
      <c r="T394" s="98">
        <v>103</v>
      </c>
      <c r="U394" s="98">
        <v>89</v>
      </c>
      <c r="V394" s="98">
        <v>92</v>
      </c>
      <c r="W394" s="98">
        <v>98</v>
      </c>
      <c r="X394" s="98">
        <v>99</v>
      </c>
      <c r="Y394" s="98">
        <v>97</v>
      </c>
      <c r="Z394" s="98">
        <v>88</v>
      </c>
      <c r="AA394" s="98">
        <v>77</v>
      </c>
      <c r="AB394" s="98">
        <v>70</v>
      </c>
      <c r="AC394" s="98">
        <v>59</v>
      </c>
      <c r="AD394" s="98">
        <v>68</v>
      </c>
      <c r="AE394" s="98">
        <v>57</v>
      </c>
      <c r="AF394" s="98">
        <v>47</v>
      </c>
      <c r="AG394" s="98">
        <v>47</v>
      </c>
    </row>
    <row r="395" spans="1:33" x14ac:dyDescent="0.3">
      <c r="A395" s="7">
        <v>390</v>
      </c>
      <c r="B395" s="7" t="s">
        <v>752</v>
      </c>
      <c r="C395" s="7" t="s">
        <v>239</v>
      </c>
      <c r="D395" s="8">
        <f>'CDC Source Data'!D226</f>
        <v>137596</v>
      </c>
      <c r="E395" s="8">
        <f>'CDC Source Data'!E226</f>
        <v>20</v>
      </c>
      <c r="F395" s="31">
        <f t="shared" si="6"/>
        <v>14.551579155946486</v>
      </c>
      <c r="G395" s="9">
        <f>'CDC Source Data'!F226</f>
        <v>0.14000000000000001</v>
      </c>
      <c r="H395" s="7" t="str">
        <f>'CDC Source Data'!G226</f>
        <v>Completeness of provisional 2019 data under 90% after 6 months.</v>
      </c>
      <c r="I395" s="97">
        <v>18.3</v>
      </c>
      <c r="J395" s="97">
        <v>19.100000000000001</v>
      </c>
      <c r="K395" s="98">
        <v>38</v>
      </c>
      <c r="L395" s="98">
        <v>39</v>
      </c>
      <c r="M395" s="98">
        <v>38</v>
      </c>
      <c r="N395" s="98">
        <v>45</v>
      </c>
      <c r="O395" s="98">
        <v>52</v>
      </c>
      <c r="P395" s="98">
        <v>48</v>
      </c>
      <c r="Q395" s="98">
        <v>50</v>
      </c>
      <c r="R395" s="98">
        <v>46</v>
      </c>
      <c r="S395" s="98">
        <v>43</v>
      </c>
      <c r="T395" s="98">
        <v>43</v>
      </c>
      <c r="U395" s="98">
        <v>45</v>
      </c>
      <c r="V395" s="98">
        <v>45</v>
      </c>
      <c r="W395" s="98">
        <v>45</v>
      </c>
      <c r="X395" s="98">
        <v>45</v>
      </c>
      <c r="Y395" s="98">
        <v>44</v>
      </c>
      <c r="Z395" s="98">
        <v>42</v>
      </c>
      <c r="AA395" s="98">
        <v>44</v>
      </c>
      <c r="AB395" s="98">
        <v>45</v>
      </c>
      <c r="AC395" s="98">
        <v>36</v>
      </c>
      <c r="AD395" s="98">
        <v>29</v>
      </c>
      <c r="AE395" s="98">
        <v>27</v>
      </c>
      <c r="AF395" s="98">
        <v>20</v>
      </c>
      <c r="AG395" s="98">
        <v>20</v>
      </c>
    </row>
    <row r="396" spans="1:33" x14ac:dyDescent="0.3">
      <c r="A396" s="7">
        <v>391</v>
      </c>
      <c r="B396" s="7" t="s">
        <v>753</v>
      </c>
      <c r="C396" s="7" t="s">
        <v>237</v>
      </c>
      <c r="D396" s="8">
        <f>'CDC Source Data'!D373</f>
        <v>647520</v>
      </c>
      <c r="E396" s="8">
        <f>'CDC Source Data'!E373</f>
        <v>94</v>
      </c>
      <c r="F396" s="31">
        <f t="shared" si="6"/>
        <v>14.535306258902875</v>
      </c>
      <c r="G396" s="9">
        <f>'CDC Source Data'!F373</f>
        <v>0.03</v>
      </c>
      <c r="H396" s="7">
        <f>'CDC Source Data'!G373</f>
        <v>0</v>
      </c>
      <c r="I396" s="97">
        <v>21.4</v>
      </c>
      <c r="J396" s="97">
        <v>22.3</v>
      </c>
      <c r="K396" s="98">
        <v>180</v>
      </c>
      <c r="L396" s="98">
        <v>190</v>
      </c>
      <c r="M396" s="98">
        <v>193</v>
      </c>
      <c r="N396" s="98">
        <v>176</v>
      </c>
      <c r="O396" s="98">
        <v>191</v>
      </c>
      <c r="P396" s="98">
        <v>187</v>
      </c>
      <c r="Q396" s="98">
        <v>190</v>
      </c>
      <c r="R396" s="98">
        <v>188</v>
      </c>
      <c r="S396" s="98">
        <v>172</v>
      </c>
      <c r="T396" s="98">
        <v>172</v>
      </c>
      <c r="U396" s="98">
        <v>156</v>
      </c>
      <c r="V396" s="98">
        <v>164</v>
      </c>
      <c r="W396" s="98">
        <v>156</v>
      </c>
      <c r="X396" s="98">
        <v>160</v>
      </c>
      <c r="Y396" s="98">
        <v>164</v>
      </c>
      <c r="Z396" s="98">
        <v>152</v>
      </c>
      <c r="AA396" s="98">
        <v>156</v>
      </c>
      <c r="AB396" s="98">
        <v>135</v>
      </c>
      <c r="AC396" s="98">
        <v>128</v>
      </c>
      <c r="AD396" s="98">
        <v>116</v>
      </c>
      <c r="AE396" s="98">
        <v>102</v>
      </c>
      <c r="AF396" s="98">
        <v>102</v>
      </c>
      <c r="AG396" s="98">
        <v>94</v>
      </c>
    </row>
    <row r="397" spans="1:33" x14ac:dyDescent="0.3">
      <c r="A397" s="7">
        <v>392</v>
      </c>
      <c r="B397" s="7" t="s">
        <v>754</v>
      </c>
      <c r="C397" s="7" t="s">
        <v>50</v>
      </c>
      <c r="D397" s="8">
        <f>'CDC Source Data'!D349</f>
        <v>165666</v>
      </c>
      <c r="E397" s="8">
        <f>'CDC Source Data'!E349</f>
        <v>24</v>
      </c>
      <c r="F397" s="31">
        <f t="shared" si="6"/>
        <v>14.516926118112181</v>
      </c>
      <c r="G397" s="9">
        <f>'CDC Source Data'!F349</f>
        <v>0.05</v>
      </c>
      <c r="H397" s="7">
        <f>'CDC Source Data'!G349</f>
        <v>0</v>
      </c>
      <c r="I397" s="97">
        <v>26.4</v>
      </c>
      <c r="J397" s="97">
        <v>27.5</v>
      </c>
      <c r="K397" s="98">
        <v>49</v>
      </c>
      <c r="L397" s="98">
        <v>60</v>
      </c>
      <c r="M397" s="98">
        <v>60</v>
      </c>
      <c r="N397" s="98">
        <v>56</v>
      </c>
      <c r="O397" s="98">
        <v>55</v>
      </c>
      <c r="P397" s="98">
        <v>50</v>
      </c>
      <c r="Q397" s="98">
        <v>49</v>
      </c>
      <c r="R397" s="98">
        <v>53</v>
      </c>
      <c r="S397" s="98">
        <v>42</v>
      </c>
      <c r="T397" s="98">
        <v>45</v>
      </c>
      <c r="U397" s="98">
        <v>45</v>
      </c>
      <c r="V397" s="98">
        <v>38</v>
      </c>
      <c r="W397" s="98">
        <v>45</v>
      </c>
      <c r="X397" s="98">
        <v>38</v>
      </c>
      <c r="Y397" s="98">
        <v>41</v>
      </c>
      <c r="Z397" s="98">
        <v>45</v>
      </c>
      <c r="AA397" s="98">
        <v>50</v>
      </c>
      <c r="AB397" s="98">
        <v>51</v>
      </c>
      <c r="AC397" s="98">
        <v>41</v>
      </c>
      <c r="AD397" s="98">
        <v>38</v>
      </c>
      <c r="AE397" s="98">
        <v>26</v>
      </c>
      <c r="AF397" s="98">
        <v>20</v>
      </c>
      <c r="AG397" s="98">
        <v>24</v>
      </c>
    </row>
    <row r="398" spans="1:33" x14ac:dyDescent="0.3">
      <c r="A398" s="7">
        <v>393</v>
      </c>
      <c r="B398" s="7" t="s">
        <v>755</v>
      </c>
      <c r="C398" s="7" t="s">
        <v>50</v>
      </c>
      <c r="D398" s="8">
        <f>'CDC Source Data'!D66</f>
        <v>2037472</v>
      </c>
      <c r="E398" s="8">
        <f>'CDC Source Data'!E66</f>
        <v>295</v>
      </c>
      <c r="F398" s="31">
        <f t="shared" si="6"/>
        <v>14.48697982688059</v>
      </c>
      <c r="G398" s="9">
        <f>'CDC Source Data'!F66</f>
        <v>0.2</v>
      </c>
      <c r="H398" s="7">
        <f>'CDC Source Data'!G66</f>
        <v>0</v>
      </c>
      <c r="I398" s="97">
        <v>25</v>
      </c>
      <c r="J398" s="97">
        <v>26.1</v>
      </c>
      <c r="K398" s="98">
        <v>563</v>
      </c>
      <c r="L398" s="98">
        <v>632</v>
      </c>
      <c r="M398" s="98">
        <v>684</v>
      </c>
      <c r="N398" s="98">
        <v>709</v>
      </c>
      <c r="O398" s="98">
        <v>712</v>
      </c>
      <c r="P398" s="98">
        <v>693</v>
      </c>
      <c r="Q398" s="98">
        <v>692</v>
      </c>
      <c r="R398" s="98">
        <v>698</v>
      </c>
      <c r="S398" s="98">
        <v>716</v>
      </c>
      <c r="T398" s="98">
        <v>690</v>
      </c>
      <c r="U398" s="98">
        <v>651</v>
      </c>
      <c r="V398" s="98">
        <v>659</v>
      </c>
      <c r="W398" s="98">
        <v>607</v>
      </c>
      <c r="X398" s="98">
        <v>582</v>
      </c>
      <c r="Y398" s="98">
        <v>579</v>
      </c>
      <c r="Z398" s="98">
        <v>538</v>
      </c>
      <c r="AA398" s="98">
        <v>526</v>
      </c>
      <c r="AB398" s="98">
        <v>489</v>
      </c>
      <c r="AC398" s="98">
        <v>437</v>
      </c>
      <c r="AD398" s="98">
        <v>371</v>
      </c>
      <c r="AE398" s="98">
        <v>332</v>
      </c>
      <c r="AF398" s="98">
        <v>328</v>
      </c>
      <c r="AG398" s="98">
        <v>295</v>
      </c>
    </row>
    <row r="399" spans="1:33" x14ac:dyDescent="0.3">
      <c r="A399" s="7">
        <v>394</v>
      </c>
      <c r="B399" s="7" t="s">
        <v>756</v>
      </c>
      <c r="C399" s="7" t="s">
        <v>469</v>
      </c>
      <c r="D399" s="8">
        <f>'CDC Source Data'!D220</f>
        <v>221745</v>
      </c>
      <c r="E399" s="8">
        <f>'CDC Source Data'!E220</f>
        <v>32</v>
      </c>
      <c r="F399" s="31">
        <f t="shared" si="6"/>
        <v>14.478726578819243</v>
      </c>
      <c r="G399" s="9">
        <f>'CDC Source Data'!F220</f>
        <v>0.1</v>
      </c>
      <c r="H399" s="7">
        <f>'CDC Source Data'!G220</f>
        <v>0</v>
      </c>
      <c r="I399" s="97">
        <v>16.899999999999999</v>
      </c>
      <c r="J399" s="97">
        <v>17.7</v>
      </c>
      <c r="K399" s="98">
        <v>35</v>
      </c>
      <c r="L399" s="98">
        <v>37</v>
      </c>
      <c r="M399" s="98">
        <v>31</v>
      </c>
      <c r="N399" s="98">
        <v>34</v>
      </c>
      <c r="O399" s="98">
        <v>37</v>
      </c>
      <c r="P399" s="98">
        <v>37</v>
      </c>
      <c r="Q399" s="98">
        <v>37</v>
      </c>
      <c r="R399" s="98">
        <v>42</v>
      </c>
      <c r="S399" s="98">
        <v>48</v>
      </c>
      <c r="T399" s="98">
        <v>66</v>
      </c>
      <c r="U399" s="98">
        <v>79</v>
      </c>
      <c r="V399" s="98">
        <v>74</v>
      </c>
      <c r="W399" s="98">
        <v>83</v>
      </c>
      <c r="X399" s="98">
        <v>71</v>
      </c>
      <c r="Y399" s="98">
        <v>63</v>
      </c>
      <c r="Z399" s="98">
        <v>68</v>
      </c>
      <c r="AA399" s="98">
        <v>59</v>
      </c>
      <c r="AB399" s="98">
        <v>62</v>
      </c>
      <c r="AC399" s="98">
        <v>65</v>
      </c>
      <c r="AD399" s="98">
        <v>60</v>
      </c>
      <c r="AE399" s="98">
        <v>49</v>
      </c>
      <c r="AF399" s="98">
        <v>35</v>
      </c>
      <c r="AG399" s="98">
        <v>32</v>
      </c>
    </row>
    <row r="400" spans="1:33" x14ac:dyDescent="0.3">
      <c r="A400" s="7">
        <v>395</v>
      </c>
      <c r="B400" s="7" t="s">
        <v>487</v>
      </c>
      <c r="C400" s="7" t="s">
        <v>19</v>
      </c>
      <c r="D400" s="8">
        <f>'CDC Source Data'!D378</f>
        <v>166523</v>
      </c>
      <c r="E400" s="8">
        <f>'CDC Source Data'!E378</f>
        <v>24</v>
      </c>
      <c r="F400" s="31">
        <f t="shared" si="6"/>
        <v>14.430990552210872</v>
      </c>
      <c r="G400" s="9">
        <f>'CDC Source Data'!F378</f>
        <v>0.32</v>
      </c>
      <c r="H400" s="7">
        <f>'CDC Source Data'!G378</f>
        <v>0</v>
      </c>
      <c r="I400" s="97">
        <v>25.8</v>
      </c>
      <c r="J400" s="97">
        <v>26.9</v>
      </c>
      <c r="K400" s="98">
        <v>53</v>
      </c>
      <c r="L400" s="98">
        <v>65</v>
      </c>
      <c r="M400" s="98">
        <v>81</v>
      </c>
      <c r="N400" s="98">
        <v>95</v>
      </c>
      <c r="O400" s="98">
        <v>93</v>
      </c>
      <c r="P400" s="98">
        <v>82</v>
      </c>
      <c r="Q400" s="98">
        <v>66</v>
      </c>
      <c r="R400" s="98">
        <v>66</v>
      </c>
      <c r="S400" s="98">
        <v>64</v>
      </c>
      <c r="T400" s="98">
        <v>71</v>
      </c>
      <c r="U400" s="98">
        <v>67</v>
      </c>
      <c r="V400" s="98">
        <v>64</v>
      </c>
      <c r="W400" s="98">
        <v>62</v>
      </c>
      <c r="X400" s="98">
        <v>64</v>
      </c>
      <c r="Y400" s="98">
        <v>65</v>
      </c>
      <c r="Z400" s="98">
        <v>62</v>
      </c>
      <c r="AA400" s="98">
        <v>54</v>
      </c>
      <c r="AB400" s="98">
        <v>43</v>
      </c>
      <c r="AC400" s="98">
        <v>42</v>
      </c>
      <c r="AD400" s="98">
        <v>32</v>
      </c>
      <c r="AE400" s="98">
        <v>32</v>
      </c>
      <c r="AF400" s="98">
        <v>26</v>
      </c>
      <c r="AG400" s="98">
        <v>24</v>
      </c>
    </row>
    <row r="401" spans="1:33" x14ac:dyDescent="0.3">
      <c r="A401" s="7">
        <v>396</v>
      </c>
      <c r="B401" s="7" t="s">
        <v>757</v>
      </c>
      <c r="C401" s="7" t="s">
        <v>50</v>
      </c>
      <c r="D401" s="8">
        <f>'CDC Source Data'!D311</f>
        <v>860959</v>
      </c>
      <c r="E401" s="8">
        <f>'CDC Source Data'!E311</f>
        <v>124</v>
      </c>
      <c r="F401" s="31">
        <f t="shared" si="6"/>
        <v>14.412423509064816</v>
      </c>
      <c r="G401" s="9">
        <f>'CDC Source Data'!F311</f>
        <v>0.01</v>
      </c>
      <c r="H401" s="7">
        <f>'CDC Source Data'!G311</f>
        <v>0</v>
      </c>
      <c r="I401" s="97">
        <v>25.9</v>
      </c>
      <c r="J401" s="97">
        <v>27</v>
      </c>
      <c r="K401" s="98">
        <v>214</v>
      </c>
      <c r="L401" s="98">
        <v>260</v>
      </c>
      <c r="M401" s="98">
        <v>305</v>
      </c>
      <c r="N401" s="98">
        <v>315</v>
      </c>
      <c r="O401" s="98">
        <v>332</v>
      </c>
      <c r="P401" s="98">
        <v>335</v>
      </c>
      <c r="Q401" s="98">
        <v>315</v>
      </c>
      <c r="R401" s="98">
        <v>306</v>
      </c>
      <c r="S401" s="98">
        <v>319</v>
      </c>
      <c r="T401" s="98">
        <v>289</v>
      </c>
      <c r="U401" s="98">
        <v>297</v>
      </c>
      <c r="V401" s="98">
        <v>318</v>
      </c>
      <c r="W401" s="98">
        <v>294</v>
      </c>
      <c r="X401" s="98">
        <v>271</v>
      </c>
      <c r="Y401" s="98">
        <v>257</v>
      </c>
      <c r="Z401" s="98">
        <v>239</v>
      </c>
      <c r="AA401" s="98">
        <v>221</v>
      </c>
      <c r="AB401" s="98">
        <v>232</v>
      </c>
      <c r="AC401" s="98">
        <v>211</v>
      </c>
      <c r="AD401" s="98">
        <v>176</v>
      </c>
      <c r="AE401" s="98">
        <v>164</v>
      </c>
      <c r="AF401" s="98">
        <v>135</v>
      </c>
      <c r="AG401" s="98">
        <v>124</v>
      </c>
    </row>
    <row r="402" spans="1:33" x14ac:dyDescent="0.3">
      <c r="A402" s="7">
        <v>397</v>
      </c>
      <c r="B402" s="7" t="s">
        <v>758</v>
      </c>
      <c r="C402" s="7" t="s">
        <v>15</v>
      </c>
      <c r="D402" s="8">
        <f>'CDC Source Data'!D493</f>
        <v>1926325</v>
      </c>
      <c r="E402" s="8">
        <f>'CDC Source Data'!E493</f>
        <v>276</v>
      </c>
      <c r="F402" s="31">
        <f t="shared" si="6"/>
        <v>14.402544139732553</v>
      </c>
      <c r="G402" s="9">
        <f>'CDC Source Data'!F493</f>
        <v>0.23</v>
      </c>
      <c r="H402" s="7" t="str">
        <f>'CDC Source Data'!G493</f>
        <v>Completeness of provisional 2019 data under 90% after 6 months.</v>
      </c>
      <c r="I402" s="97">
        <v>10.8</v>
      </c>
      <c r="J402" s="97">
        <v>11.3</v>
      </c>
      <c r="K402" s="98">
        <v>231</v>
      </c>
      <c r="L402" s="98">
        <v>254</v>
      </c>
      <c r="M402" s="98">
        <v>280</v>
      </c>
      <c r="N402" s="98">
        <v>302</v>
      </c>
      <c r="O402" s="98">
        <v>318</v>
      </c>
      <c r="P402" s="98">
        <v>314</v>
      </c>
      <c r="Q402" s="98">
        <v>329</v>
      </c>
      <c r="R402" s="98">
        <v>321</v>
      </c>
      <c r="S402" s="98">
        <v>317</v>
      </c>
      <c r="T402" s="98">
        <v>331</v>
      </c>
      <c r="U402" s="98">
        <v>333</v>
      </c>
      <c r="V402" s="98">
        <v>363</v>
      </c>
      <c r="W402" s="98">
        <v>389</v>
      </c>
      <c r="X402" s="98">
        <v>402</v>
      </c>
      <c r="Y402" s="98">
        <v>390</v>
      </c>
      <c r="Z402" s="98">
        <v>357</v>
      </c>
      <c r="AA402" s="98">
        <v>333</v>
      </c>
      <c r="AB402" s="98">
        <v>312</v>
      </c>
      <c r="AC402" s="98">
        <v>295</v>
      </c>
      <c r="AD402" s="98">
        <v>279</v>
      </c>
      <c r="AE402" s="98">
        <v>304</v>
      </c>
      <c r="AF402" s="98">
        <v>278</v>
      </c>
      <c r="AG402" s="98">
        <v>276</v>
      </c>
    </row>
    <row r="403" spans="1:33" x14ac:dyDescent="0.3">
      <c r="A403" s="7">
        <v>398</v>
      </c>
      <c r="B403" s="7" t="s">
        <v>740</v>
      </c>
      <c r="C403" s="7" t="s">
        <v>458</v>
      </c>
      <c r="D403" s="8">
        <f>'CDC Source Data'!D549</f>
        <v>104776</v>
      </c>
      <c r="E403" s="8">
        <f>'CDC Source Data'!E549</f>
        <v>15</v>
      </c>
      <c r="F403" s="31">
        <f t="shared" si="6"/>
        <v>14.327800345216929</v>
      </c>
      <c r="G403" s="9">
        <f>'CDC Source Data'!F549</f>
        <v>0</v>
      </c>
      <c r="H403" s="7">
        <f>'CDC Source Data'!G549</f>
        <v>0</v>
      </c>
      <c r="I403" s="97">
        <v>12.9</v>
      </c>
      <c r="J403" s="97">
        <v>13.4</v>
      </c>
      <c r="K403" s="98">
        <v>23</v>
      </c>
      <c r="L403" s="98">
        <v>24</v>
      </c>
      <c r="M403" s="98">
        <v>30</v>
      </c>
      <c r="N403" s="98">
        <v>32</v>
      </c>
      <c r="O403" s="98">
        <v>31</v>
      </c>
      <c r="P403" s="98">
        <v>32</v>
      </c>
      <c r="Q403" s="98">
        <v>27</v>
      </c>
      <c r="R403" s="98">
        <v>29</v>
      </c>
      <c r="S403" s="98">
        <v>28</v>
      </c>
      <c r="T403" s="98">
        <v>29</v>
      </c>
      <c r="U403" s="98">
        <v>33</v>
      </c>
      <c r="V403" s="98">
        <v>39</v>
      </c>
      <c r="W403" s="98">
        <v>45</v>
      </c>
      <c r="X403" s="98">
        <v>45</v>
      </c>
      <c r="Y403" s="98">
        <v>42</v>
      </c>
      <c r="Z403" s="98">
        <v>35</v>
      </c>
      <c r="AA403" s="98">
        <v>36</v>
      </c>
      <c r="AB403" s="98">
        <v>33</v>
      </c>
      <c r="AC403" s="98">
        <v>25</v>
      </c>
      <c r="AD403" s="98">
        <v>22</v>
      </c>
      <c r="AE403" s="98">
        <v>13</v>
      </c>
      <c r="AF403" s="98">
        <v>14</v>
      </c>
      <c r="AG403" s="98">
        <v>15</v>
      </c>
    </row>
    <row r="404" spans="1:33" x14ac:dyDescent="0.3">
      <c r="A404" s="7">
        <v>399</v>
      </c>
      <c r="B404" s="7" t="s">
        <v>759</v>
      </c>
      <c r="C404" s="7" t="s">
        <v>17</v>
      </c>
      <c r="D404" s="8">
        <f>'CDC Source Data'!D58</f>
        <v>330262</v>
      </c>
      <c r="E404" s="8">
        <f>'CDC Source Data'!E58</f>
        <v>47</v>
      </c>
      <c r="F404" s="31">
        <f t="shared" si="6"/>
        <v>14.316255631060548</v>
      </c>
      <c r="G404" s="9">
        <f>'CDC Source Data'!F58</f>
        <v>0.05</v>
      </c>
      <c r="H404" s="7">
        <f>'CDC Source Data'!G58</f>
        <v>0</v>
      </c>
      <c r="I404" s="97">
        <v>19.399999999999999</v>
      </c>
      <c r="J404" s="97">
        <v>20.3</v>
      </c>
      <c r="K404" s="98">
        <v>43</v>
      </c>
      <c r="L404" s="98">
        <v>48</v>
      </c>
      <c r="M404" s="98">
        <v>51</v>
      </c>
      <c r="N404" s="98">
        <v>51</v>
      </c>
      <c r="O404" s="98">
        <v>49</v>
      </c>
      <c r="P404" s="98">
        <v>44</v>
      </c>
      <c r="Q404" s="98">
        <v>55</v>
      </c>
      <c r="R404" s="98">
        <v>50</v>
      </c>
      <c r="S404" s="98">
        <v>56</v>
      </c>
      <c r="T404" s="98">
        <v>62</v>
      </c>
      <c r="U404" s="98">
        <v>54</v>
      </c>
      <c r="V404" s="98">
        <v>63</v>
      </c>
      <c r="W404" s="98">
        <v>58</v>
      </c>
      <c r="X404" s="98">
        <v>58</v>
      </c>
      <c r="Y404" s="98">
        <v>59</v>
      </c>
      <c r="Z404" s="98">
        <v>63</v>
      </c>
      <c r="AA404" s="98">
        <v>68</v>
      </c>
      <c r="AB404" s="98">
        <v>67</v>
      </c>
      <c r="AC404" s="98">
        <v>59</v>
      </c>
      <c r="AD404" s="98">
        <v>48</v>
      </c>
      <c r="AE404" s="98">
        <v>44</v>
      </c>
      <c r="AF404" s="98">
        <v>43</v>
      </c>
      <c r="AG404" s="98">
        <v>47</v>
      </c>
    </row>
    <row r="405" spans="1:33" x14ac:dyDescent="0.3">
      <c r="A405" s="7">
        <v>400</v>
      </c>
      <c r="B405" s="7" t="s">
        <v>40</v>
      </c>
      <c r="C405" s="7" t="s">
        <v>32</v>
      </c>
      <c r="D405" s="8">
        <f>'CDC Source Data'!D267</f>
        <v>113140</v>
      </c>
      <c r="E405" s="8">
        <f>'CDC Source Data'!E267</f>
        <v>16</v>
      </c>
      <c r="F405" s="31">
        <f t="shared" si="6"/>
        <v>14.231125591197292</v>
      </c>
      <c r="G405" s="9">
        <f>'CDC Source Data'!F267</f>
        <v>0.57999999999999996</v>
      </c>
      <c r="H405" s="7" t="str">
        <f>'CDC Source Data'!G267</f>
        <v>Completeness of provisional 2019 data under 90% after 6 months.</v>
      </c>
      <c r="I405" s="97">
        <v>16.399999999999999</v>
      </c>
      <c r="J405" s="97">
        <v>17.100000000000001</v>
      </c>
      <c r="K405" s="98">
        <v>22</v>
      </c>
      <c r="L405" s="98">
        <v>33</v>
      </c>
      <c r="M405" s="98">
        <v>38</v>
      </c>
      <c r="N405" s="98">
        <v>35</v>
      </c>
      <c r="O405" s="98">
        <v>32</v>
      </c>
      <c r="P405" s="98">
        <v>25</v>
      </c>
      <c r="Q405" s="98">
        <v>28</v>
      </c>
      <c r="R405" s="98">
        <v>27</v>
      </c>
      <c r="S405" s="98">
        <v>25</v>
      </c>
      <c r="T405" s="98">
        <v>25</v>
      </c>
      <c r="U405" s="98">
        <v>23</v>
      </c>
      <c r="V405" s="98">
        <v>23</v>
      </c>
      <c r="W405" s="98">
        <v>27</v>
      </c>
      <c r="X405" s="98">
        <v>28</v>
      </c>
      <c r="Y405" s="98">
        <v>28</v>
      </c>
      <c r="Z405" s="98">
        <v>29</v>
      </c>
      <c r="AA405" s="98">
        <v>26</v>
      </c>
      <c r="AB405" s="98">
        <v>26</v>
      </c>
      <c r="AC405" s="98">
        <v>23</v>
      </c>
      <c r="AD405" s="98">
        <v>21</v>
      </c>
      <c r="AE405" s="98">
        <v>20</v>
      </c>
      <c r="AF405" s="98">
        <v>20</v>
      </c>
      <c r="AG405" s="98">
        <v>16</v>
      </c>
    </row>
    <row r="406" spans="1:33" x14ac:dyDescent="0.3">
      <c r="A406" s="7">
        <v>401</v>
      </c>
      <c r="B406" s="7" t="s">
        <v>760</v>
      </c>
      <c r="C406" s="7" t="s">
        <v>467</v>
      </c>
      <c r="D406" s="8">
        <f>'CDC Source Data'!D235</f>
        <v>120771</v>
      </c>
      <c r="E406" s="8">
        <f>'CDC Source Data'!E235</f>
        <v>17</v>
      </c>
      <c r="F406" s="31">
        <f t="shared" si="6"/>
        <v>14.141771256849921</v>
      </c>
      <c r="G406" s="9">
        <f>'CDC Source Data'!F235</f>
        <v>0.6</v>
      </c>
      <c r="H406" s="7" t="str">
        <f>'CDC Source Data'!G235</f>
        <v>Completeness of provisional 2019 data under 90% after 6 months.</v>
      </c>
      <c r="I406" s="97">
        <v>23.6</v>
      </c>
      <c r="J406" s="97">
        <v>24.6</v>
      </c>
      <c r="K406" s="98">
        <v>22</v>
      </c>
      <c r="L406" s="98">
        <v>29</v>
      </c>
      <c r="M406" s="98">
        <v>34</v>
      </c>
      <c r="N406" s="98">
        <v>35</v>
      </c>
      <c r="O406" s="98">
        <v>36</v>
      </c>
      <c r="P406" s="98">
        <v>31</v>
      </c>
      <c r="Q406" s="98">
        <v>36</v>
      </c>
      <c r="R406" s="98">
        <v>34</v>
      </c>
      <c r="S406" s="98">
        <v>29</v>
      </c>
      <c r="T406" s="98">
        <v>33</v>
      </c>
      <c r="U406" s="98">
        <v>32</v>
      </c>
      <c r="V406" s="98">
        <v>43</v>
      </c>
      <c r="W406" s="98">
        <v>53</v>
      </c>
      <c r="X406" s="98">
        <v>47</v>
      </c>
      <c r="Y406" s="98">
        <v>42</v>
      </c>
      <c r="Z406" s="98">
        <v>29</v>
      </c>
      <c r="AA406" s="98">
        <v>26</v>
      </c>
      <c r="AB406" s="98">
        <v>24</v>
      </c>
      <c r="AC406" s="98">
        <v>26</v>
      </c>
      <c r="AD406" s="98">
        <v>27</v>
      </c>
      <c r="AE406" s="98">
        <v>21</v>
      </c>
      <c r="AF406" s="98">
        <v>24</v>
      </c>
      <c r="AG406" s="98">
        <v>17</v>
      </c>
    </row>
    <row r="407" spans="1:33" x14ac:dyDescent="0.3">
      <c r="A407" s="7">
        <v>402</v>
      </c>
      <c r="B407" s="7" t="s">
        <v>761</v>
      </c>
      <c r="C407" s="7" t="s">
        <v>50</v>
      </c>
      <c r="D407" s="8">
        <f>'CDC Source Data'!D497</f>
        <v>476604</v>
      </c>
      <c r="E407" s="8">
        <f>'CDC Source Data'!E497</f>
        <v>67</v>
      </c>
      <c r="F407" s="31">
        <f t="shared" si="6"/>
        <v>14.07622690877777</v>
      </c>
      <c r="G407" s="9">
        <f>'CDC Source Data'!F497</f>
        <v>0.03</v>
      </c>
      <c r="H407" s="7" t="str">
        <f>'CDC Source Data'!G497</f>
        <v>Completeness of provisional 2019 data under 90% after 6 months.</v>
      </c>
      <c r="I407" s="97">
        <v>28.9</v>
      </c>
      <c r="J407" s="97">
        <v>30.2</v>
      </c>
      <c r="K407" s="98">
        <v>124</v>
      </c>
      <c r="L407" s="98">
        <v>138</v>
      </c>
      <c r="M407" s="98">
        <v>156</v>
      </c>
      <c r="N407" s="98">
        <v>167</v>
      </c>
      <c r="O407" s="98">
        <v>178</v>
      </c>
      <c r="P407" s="98">
        <v>176</v>
      </c>
      <c r="Q407" s="98">
        <v>164</v>
      </c>
      <c r="R407" s="98">
        <v>161</v>
      </c>
      <c r="S407" s="98">
        <v>139</v>
      </c>
      <c r="T407" s="98">
        <v>130</v>
      </c>
      <c r="U407" s="98">
        <v>131</v>
      </c>
      <c r="V407" s="98">
        <v>129</v>
      </c>
      <c r="W407" s="98">
        <v>134</v>
      </c>
      <c r="X407" s="98">
        <v>135</v>
      </c>
      <c r="Y407" s="98">
        <v>148</v>
      </c>
      <c r="Z407" s="98">
        <v>145</v>
      </c>
      <c r="AA407" s="98">
        <v>128</v>
      </c>
      <c r="AB407" s="98">
        <v>118</v>
      </c>
      <c r="AC407" s="98">
        <v>92</v>
      </c>
      <c r="AD407" s="98">
        <v>78</v>
      </c>
      <c r="AE407" s="98">
        <v>79</v>
      </c>
      <c r="AF407" s="98">
        <v>70</v>
      </c>
      <c r="AG407" s="98">
        <v>67</v>
      </c>
    </row>
    <row r="408" spans="1:33" x14ac:dyDescent="0.3">
      <c r="A408" s="7">
        <v>403</v>
      </c>
      <c r="B408" s="7" t="s">
        <v>762</v>
      </c>
      <c r="C408" s="7" t="s">
        <v>604</v>
      </c>
      <c r="D408" s="8">
        <f>'CDC Source Data'!D60</f>
        <v>413224</v>
      </c>
      <c r="E408" s="8">
        <f>'CDC Source Data'!E60</f>
        <v>58</v>
      </c>
      <c r="F408" s="31">
        <f t="shared" si="6"/>
        <v>14.057792213242022</v>
      </c>
      <c r="G408" s="9">
        <f>'CDC Source Data'!F60</f>
        <v>0.13</v>
      </c>
      <c r="H408" s="7" t="str">
        <f>'CDC Source Data'!G60</f>
        <v>Completeness of provisional 2019 data under 90% after 6 months.</v>
      </c>
      <c r="I408" s="97">
        <v>13.5</v>
      </c>
      <c r="J408" s="97">
        <v>14.1</v>
      </c>
      <c r="K408" s="98">
        <v>37</v>
      </c>
      <c r="L408" s="98">
        <v>38</v>
      </c>
      <c r="M408" s="98">
        <v>37</v>
      </c>
      <c r="N408" s="98">
        <v>43</v>
      </c>
      <c r="O408" s="98">
        <v>53</v>
      </c>
      <c r="P408" s="98">
        <v>63</v>
      </c>
      <c r="Q408" s="98">
        <v>73</v>
      </c>
      <c r="R408" s="98">
        <v>76</v>
      </c>
      <c r="S408" s="98">
        <v>77</v>
      </c>
      <c r="T408" s="98">
        <v>68</v>
      </c>
      <c r="U408" s="98">
        <v>63</v>
      </c>
      <c r="V408" s="98">
        <v>69</v>
      </c>
      <c r="W408" s="98">
        <v>67</v>
      </c>
      <c r="X408" s="98">
        <v>80</v>
      </c>
      <c r="Y408" s="98">
        <v>85</v>
      </c>
      <c r="Z408" s="98">
        <v>83</v>
      </c>
      <c r="AA408" s="98">
        <v>98</v>
      </c>
      <c r="AB408" s="98">
        <v>86</v>
      </c>
      <c r="AC408" s="98">
        <v>77</v>
      </c>
      <c r="AD408" s="98">
        <v>68</v>
      </c>
      <c r="AE408" s="98">
        <v>53</v>
      </c>
      <c r="AF408" s="98">
        <v>60</v>
      </c>
      <c r="AG408" s="98">
        <v>58</v>
      </c>
    </row>
    <row r="409" spans="1:33" x14ac:dyDescent="0.3">
      <c r="A409" s="7">
        <v>404</v>
      </c>
      <c r="B409" s="7" t="s">
        <v>763</v>
      </c>
      <c r="C409" s="7" t="s">
        <v>475</v>
      </c>
      <c r="D409" s="8">
        <f>'CDC Source Data'!D540</f>
        <v>163997</v>
      </c>
      <c r="E409" s="8">
        <f>'CDC Source Data'!E540</f>
        <v>23</v>
      </c>
      <c r="F409" s="31">
        <f t="shared" si="6"/>
        <v>14.035970805180726</v>
      </c>
      <c r="G409" s="9">
        <f>'CDC Source Data'!F540</f>
        <v>0</v>
      </c>
      <c r="H409" s="7">
        <f>'CDC Source Data'!G540</f>
        <v>0</v>
      </c>
      <c r="I409" s="97">
        <v>11.1</v>
      </c>
      <c r="J409" s="97">
        <v>11.6</v>
      </c>
      <c r="K409" s="98">
        <v>18</v>
      </c>
      <c r="L409" s="98">
        <v>24</v>
      </c>
      <c r="M409" s="98">
        <v>25</v>
      </c>
      <c r="N409" s="98">
        <v>31</v>
      </c>
      <c r="O409" s="98">
        <v>30</v>
      </c>
      <c r="P409" s="98">
        <v>23</v>
      </c>
      <c r="Q409" s="98">
        <v>21</v>
      </c>
      <c r="R409" s="98">
        <v>22</v>
      </c>
      <c r="S409" s="98">
        <v>26</v>
      </c>
      <c r="T409" s="98">
        <v>29</v>
      </c>
      <c r="U409" s="98">
        <v>28</v>
      </c>
      <c r="V409" s="98">
        <v>26</v>
      </c>
      <c r="W409" s="98">
        <v>22</v>
      </c>
      <c r="X409" s="98">
        <v>16</v>
      </c>
      <c r="Y409" s="98">
        <v>20</v>
      </c>
      <c r="Z409" s="98">
        <v>21</v>
      </c>
      <c r="AA409" s="98">
        <v>19</v>
      </c>
      <c r="AB409" s="98">
        <v>23</v>
      </c>
      <c r="AC409" s="98">
        <v>20</v>
      </c>
      <c r="AD409" s="98">
        <v>18</v>
      </c>
      <c r="AE409" s="98">
        <v>25</v>
      </c>
      <c r="AF409" s="98">
        <v>26</v>
      </c>
      <c r="AG409" s="98">
        <v>23</v>
      </c>
    </row>
    <row r="410" spans="1:33" x14ac:dyDescent="0.3">
      <c r="A410" s="7">
        <v>405</v>
      </c>
      <c r="B410" s="7" t="s">
        <v>486</v>
      </c>
      <c r="C410" s="7" t="s">
        <v>19</v>
      </c>
      <c r="D410" s="8">
        <f>'CDC Source Data'!D623</f>
        <v>471240</v>
      </c>
      <c r="E410" s="8">
        <f>'CDC Source Data'!E623</f>
        <v>66</v>
      </c>
      <c r="F410" s="31">
        <f t="shared" si="6"/>
        <v>14.024646792319372</v>
      </c>
      <c r="G410" s="9">
        <f>'CDC Source Data'!F623</f>
        <v>0.09</v>
      </c>
      <c r="H410" s="7" t="str">
        <f>'CDC Source Data'!G623</f>
        <v>Completeness of provisional 2019 data under 90% after 6 months.</v>
      </c>
      <c r="I410" s="97">
        <v>25</v>
      </c>
      <c r="J410" s="97">
        <v>26.1</v>
      </c>
      <c r="K410" s="98">
        <v>142</v>
      </c>
      <c r="L410" s="98">
        <v>165</v>
      </c>
      <c r="M410" s="98">
        <v>185</v>
      </c>
      <c r="N410" s="98">
        <v>204</v>
      </c>
      <c r="O410" s="98">
        <v>206</v>
      </c>
      <c r="P410" s="98">
        <v>177</v>
      </c>
      <c r="Q410" s="98">
        <v>166</v>
      </c>
      <c r="R410" s="98">
        <v>150</v>
      </c>
      <c r="S410" s="98">
        <v>135</v>
      </c>
      <c r="T410" s="98">
        <v>149</v>
      </c>
      <c r="U410" s="98">
        <v>154</v>
      </c>
      <c r="V410" s="98">
        <v>143</v>
      </c>
      <c r="W410" s="98">
        <v>154</v>
      </c>
      <c r="X410" s="98">
        <v>144</v>
      </c>
      <c r="Y410" s="98">
        <v>141</v>
      </c>
      <c r="Z410" s="98">
        <v>146</v>
      </c>
      <c r="AA410" s="98">
        <v>130</v>
      </c>
      <c r="AB410" s="98">
        <v>123</v>
      </c>
      <c r="AC410" s="98">
        <v>112</v>
      </c>
      <c r="AD410" s="98">
        <v>99</v>
      </c>
      <c r="AE410" s="98">
        <v>82</v>
      </c>
      <c r="AF410" s="98">
        <v>74</v>
      </c>
      <c r="AG410" s="98">
        <v>66</v>
      </c>
    </row>
    <row r="411" spans="1:33" x14ac:dyDescent="0.3">
      <c r="A411" s="7">
        <v>406</v>
      </c>
      <c r="B411" s="7" t="s">
        <v>764</v>
      </c>
      <c r="C411" s="7" t="s">
        <v>610</v>
      </c>
      <c r="D411" s="8">
        <f>'CDC Source Data'!D6</f>
        <v>535799</v>
      </c>
      <c r="E411" s="8">
        <f>'CDC Source Data'!E6</f>
        <v>75</v>
      </c>
      <c r="F411" s="31">
        <f t="shared" si="6"/>
        <v>14.005602240896357</v>
      </c>
      <c r="G411" s="9">
        <f>'CDC Source Data'!F6</f>
        <v>0.15</v>
      </c>
      <c r="H411" s="7">
        <f>'CDC Source Data'!G6</f>
        <v>0</v>
      </c>
      <c r="I411" s="97">
        <v>16.3</v>
      </c>
      <c r="J411" s="97">
        <v>17</v>
      </c>
      <c r="K411" s="98">
        <v>77</v>
      </c>
      <c r="L411" s="98">
        <v>80</v>
      </c>
      <c r="M411" s="98">
        <v>94</v>
      </c>
      <c r="N411" s="98">
        <v>89</v>
      </c>
      <c r="O411" s="98">
        <v>91</v>
      </c>
      <c r="P411" s="98">
        <v>92</v>
      </c>
      <c r="Q411" s="98">
        <v>85</v>
      </c>
      <c r="R411" s="98">
        <v>90</v>
      </c>
      <c r="S411" s="98">
        <v>96</v>
      </c>
      <c r="T411" s="98">
        <v>97</v>
      </c>
      <c r="U411" s="98">
        <v>111</v>
      </c>
      <c r="V411" s="98">
        <v>120</v>
      </c>
      <c r="W411" s="98">
        <v>116</v>
      </c>
      <c r="X411" s="98">
        <v>113</v>
      </c>
      <c r="Y411" s="98">
        <v>108</v>
      </c>
      <c r="Z411" s="98">
        <v>103</v>
      </c>
      <c r="AA411" s="98">
        <v>106</v>
      </c>
      <c r="AB411" s="98">
        <v>108</v>
      </c>
      <c r="AC411" s="98">
        <v>108</v>
      </c>
      <c r="AD411" s="98">
        <v>96</v>
      </c>
      <c r="AE411" s="98">
        <v>92</v>
      </c>
      <c r="AF411" s="98">
        <v>89</v>
      </c>
      <c r="AG411" s="98">
        <v>75</v>
      </c>
    </row>
    <row r="412" spans="1:33" x14ac:dyDescent="0.3">
      <c r="A412" s="7">
        <v>407</v>
      </c>
      <c r="B412" s="7" t="s">
        <v>48</v>
      </c>
      <c r="C412" s="7" t="s">
        <v>463</v>
      </c>
      <c r="D412" s="8">
        <f>'CDC Source Data'!D512</f>
        <v>235969</v>
      </c>
      <c r="E412" s="8">
        <f>'CDC Source Data'!E512</f>
        <v>33</v>
      </c>
      <c r="F412" s="31">
        <f t="shared" si="6"/>
        <v>13.997786483364099</v>
      </c>
      <c r="G412" s="9">
        <f>'CDC Source Data'!F512</f>
        <v>0.05</v>
      </c>
      <c r="H412" s="7" t="str">
        <f>'CDC Source Data'!G512</f>
        <v>Completeness of provisional 2019 data under 90% after 6 months.</v>
      </c>
      <c r="I412" s="97">
        <v>20.100000000000001</v>
      </c>
      <c r="J412" s="97">
        <v>21</v>
      </c>
      <c r="K412" s="98">
        <v>30</v>
      </c>
      <c r="L412" s="98">
        <v>33</v>
      </c>
      <c r="M412" s="98">
        <v>42</v>
      </c>
      <c r="N412" s="98">
        <v>45</v>
      </c>
      <c r="O412" s="98">
        <v>56</v>
      </c>
      <c r="P412" s="98">
        <v>61</v>
      </c>
      <c r="Q412" s="98">
        <v>60</v>
      </c>
      <c r="R412" s="98">
        <v>62</v>
      </c>
      <c r="S412" s="98">
        <v>57</v>
      </c>
      <c r="T412" s="98">
        <v>56</v>
      </c>
      <c r="U412" s="98">
        <v>60</v>
      </c>
      <c r="V412" s="98">
        <v>63</v>
      </c>
      <c r="W412" s="98">
        <v>61</v>
      </c>
      <c r="X412" s="98">
        <v>57</v>
      </c>
      <c r="Y412" s="98">
        <v>57</v>
      </c>
      <c r="Z412" s="98">
        <v>49</v>
      </c>
      <c r="AA412" s="98">
        <v>56</v>
      </c>
      <c r="AB412" s="98">
        <v>62</v>
      </c>
      <c r="AC412" s="98">
        <v>52</v>
      </c>
      <c r="AD412" s="98">
        <v>51</v>
      </c>
      <c r="AE412" s="98">
        <v>43</v>
      </c>
      <c r="AF412" s="98">
        <v>33</v>
      </c>
      <c r="AG412" s="98">
        <v>33</v>
      </c>
    </row>
    <row r="413" spans="1:33" x14ac:dyDescent="0.3">
      <c r="A413" s="7">
        <v>408</v>
      </c>
      <c r="B413" s="7" t="s">
        <v>765</v>
      </c>
      <c r="C413" s="7" t="s">
        <v>50</v>
      </c>
      <c r="D413" s="8">
        <f>'CDC Source Data'!D423</f>
        <v>468058</v>
      </c>
      <c r="E413" s="8">
        <f>'CDC Source Data'!E423</f>
        <v>65</v>
      </c>
      <c r="F413" s="31">
        <f t="shared" si="6"/>
        <v>13.984887845437324</v>
      </c>
      <c r="G413" s="9">
        <f>'CDC Source Data'!F423</f>
        <v>0.03</v>
      </c>
      <c r="H413" s="7">
        <f>'CDC Source Data'!G423</f>
        <v>0</v>
      </c>
      <c r="I413" s="97">
        <v>18.3</v>
      </c>
      <c r="J413" s="97">
        <v>19.100000000000001</v>
      </c>
      <c r="K413" s="98">
        <v>84</v>
      </c>
      <c r="L413" s="98">
        <v>89</v>
      </c>
      <c r="M413" s="98">
        <v>94</v>
      </c>
      <c r="N413" s="98">
        <v>91</v>
      </c>
      <c r="O413" s="98">
        <v>91</v>
      </c>
      <c r="P413" s="98">
        <v>103</v>
      </c>
      <c r="Q413" s="98">
        <v>114</v>
      </c>
      <c r="R413" s="98">
        <v>118</v>
      </c>
      <c r="S413" s="98">
        <v>119</v>
      </c>
      <c r="T413" s="98">
        <v>112</v>
      </c>
      <c r="U413" s="98">
        <v>108</v>
      </c>
      <c r="V413" s="98">
        <v>114</v>
      </c>
      <c r="W413" s="98">
        <v>128</v>
      </c>
      <c r="X413" s="98">
        <v>137</v>
      </c>
      <c r="Y413" s="98">
        <v>146</v>
      </c>
      <c r="Z413" s="98">
        <v>144</v>
      </c>
      <c r="AA413" s="98">
        <v>126</v>
      </c>
      <c r="AB413" s="98">
        <v>113</v>
      </c>
      <c r="AC413" s="98">
        <v>90</v>
      </c>
      <c r="AD413" s="98">
        <v>80</v>
      </c>
      <c r="AE413" s="98">
        <v>68</v>
      </c>
      <c r="AF413" s="98">
        <v>63</v>
      </c>
      <c r="AG413" s="98">
        <v>65</v>
      </c>
    </row>
    <row r="414" spans="1:33" x14ac:dyDescent="0.3">
      <c r="A414" s="7">
        <v>409</v>
      </c>
      <c r="B414" s="7" t="s">
        <v>766</v>
      </c>
      <c r="C414" s="7" t="s">
        <v>469</v>
      </c>
      <c r="D414" s="8">
        <f>'CDC Source Data'!D239</f>
        <v>259315</v>
      </c>
      <c r="E414" s="8">
        <f>'CDC Source Data'!E239</f>
        <v>36</v>
      </c>
      <c r="F414" s="31">
        <f t="shared" si="6"/>
        <v>13.887167829627952</v>
      </c>
      <c r="G414" s="9">
        <f>'CDC Source Data'!F239</f>
        <v>0</v>
      </c>
      <c r="H414" s="7">
        <f>'CDC Source Data'!G239</f>
        <v>0</v>
      </c>
      <c r="I414" s="97">
        <v>15.7</v>
      </c>
      <c r="J414" s="97">
        <v>16.399999999999999</v>
      </c>
      <c r="K414" s="98">
        <v>27</v>
      </c>
      <c r="L414" s="98">
        <v>36</v>
      </c>
      <c r="M414" s="98">
        <v>43</v>
      </c>
      <c r="N414" s="98">
        <v>38</v>
      </c>
      <c r="O414" s="98">
        <v>43</v>
      </c>
      <c r="P414" s="98">
        <v>39</v>
      </c>
      <c r="Q414" s="98">
        <v>30</v>
      </c>
      <c r="R414" s="98">
        <v>38</v>
      </c>
      <c r="S414" s="98">
        <v>40</v>
      </c>
      <c r="T414" s="98">
        <v>46</v>
      </c>
      <c r="U414" s="98">
        <v>50</v>
      </c>
      <c r="V414" s="98">
        <v>53</v>
      </c>
      <c r="W414" s="98">
        <v>53</v>
      </c>
      <c r="X414" s="98">
        <v>52</v>
      </c>
      <c r="Y414" s="98">
        <v>47</v>
      </c>
      <c r="Z414" s="98">
        <v>41</v>
      </c>
      <c r="AA414" s="98">
        <v>42</v>
      </c>
      <c r="AB414" s="98">
        <v>37</v>
      </c>
      <c r="AC414" s="98">
        <v>35</v>
      </c>
      <c r="AD414" s="98">
        <v>30</v>
      </c>
      <c r="AE414" s="98">
        <v>32</v>
      </c>
      <c r="AF414" s="98">
        <v>37</v>
      </c>
      <c r="AG414" s="98">
        <v>36</v>
      </c>
    </row>
    <row r="415" spans="1:33" x14ac:dyDescent="0.3">
      <c r="A415" s="7">
        <v>410</v>
      </c>
      <c r="B415" s="7" t="s">
        <v>767</v>
      </c>
      <c r="C415" s="7" t="s">
        <v>467</v>
      </c>
      <c r="D415" s="8">
        <f>'CDC Source Data'!D76</f>
        <v>244925</v>
      </c>
      <c r="E415" s="8">
        <f>'CDC Source Data'!E76</f>
        <v>34</v>
      </c>
      <c r="F415" s="31">
        <f t="shared" si="6"/>
        <v>13.882729498872028</v>
      </c>
      <c r="G415" s="9">
        <f>'CDC Source Data'!F76</f>
        <v>0.77</v>
      </c>
      <c r="H415" s="7" t="str">
        <f>'CDC Source Data'!G76</f>
        <v>Completeness of provisional 2019 data under 90% after 6 months.</v>
      </c>
      <c r="I415" s="97">
        <v>23</v>
      </c>
      <c r="J415" s="97">
        <v>24</v>
      </c>
      <c r="K415" s="98">
        <v>40</v>
      </c>
      <c r="L415" s="98">
        <v>56</v>
      </c>
      <c r="M415" s="98">
        <v>62</v>
      </c>
      <c r="N415" s="98">
        <v>71</v>
      </c>
      <c r="O415" s="98">
        <v>79</v>
      </c>
      <c r="P415" s="98">
        <v>69</v>
      </c>
      <c r="Q415" s="98">
        <v>74</v>
      </c>
      <c r="R415" s="98">
        <v>71</v>
      </c>
      <c r="S415" s="98">
        <v>59</v>
      </c>
      <c r="T415" s="98">
        <v>69</v>
      </c>
      <c r="U415" s="98">
        <v>67</v>
      </c>
      <c r="V415" s="98">
        <v>72</v>
      </c>
      <c r="W415" s="98">
        <v>76</v>
      </c>
      <c r="X415" s="98">
        <v>68</v>
      </c>
      <c r="Y415" s="98">
        <v>57</v>
      </c>
      <c r="Z415" s="98">
        <v>43</v>
      </c>
      <c r="AA415" s="98">
        <v>43</v>
      </c>
      <c r="AB415" s="98">
        <v>39</v>
      </c>
      <c r="AC415" s="98">
        <v>37</v>
      </c>
      <c r="AD415" s="98">
        <v>40</v>
      </c>
      <c r="AE415" s="98">
        <v>36</v>
      </c>
      <c r="AF415" s="98">
        <v>36</v>
      </c>
      <c r="AG415" s="98">
        <v>34</v>
      </c>
    </row>
    <row r="416" spans="1:33" x14ac:dyDescent="0.3">
      <c r="A416" s="7">
        <v>411</v>
      </c>
      <c r="B416" s="7" t="s">
        <v>768</v>
      </c>
      <c r="C416" s="7" t="s">
        <v>623</v>
      </c>
      <c r="D416" s="8">
        <f>'CDC Source Data'!D370</f>
        <v>122546</v>
      </c>
      <c r="E416" s="8">
        <f>'CDC Source Data'!E370</f>
        <v>17</v>
      </c>
      <c r="F416" s="31">
        <f t="shared" si="6"/>
        <v>13.881800551189139</v>
      </c>
      <c r="G416" s="9">
        <f>'CDC Source Data'!F370</f>
        <v>0</v>
      </c>
      <c r="H416" s="7">
        <f>'CDC Source Data'!G370</f>
        <v>0</v>
      </c>
      <c r="I416" s="97">
        <v>18.2</v>
      </c>
      <c r="J416" s="97">
        <v>19</v>
      </c>
      <c r="K416" s="98">
        <v>13</v>
      </c>
      <c r="L416" s="98">
        <v>15</v>
      </c>
      <c r="M416" s="98">
        <v>16</v>
      </c>
      <c r="N416" s="98">
        <v>18</v>
      </c>
      <c r="O416" s="98">
        <v>17</v>
      </c>
      <c r="P416" s="98">
        <v>21</v>
      </c>
      <c r="Q416" s="98">
        <v>18</v>
      </c>
      <c r="R416" s="98">
        <v>20</v>
      </c>
      <c r="S416" s="98">
        <v>24</v>
      </c>
      <c r="T416" s="98">
        <v>21</v>
      </c>
      <c r="U416" s="98">
        <v>24</v>
      </c>
      <c r="V416" s="98">
        <v>23</v>
      </c>
      <c r="W416" s="98">
        <v>19</v>
      </c>
      <c r="X416" s="98">
        <v>21</v>
      </c>
      <c r="Y416" s="98">
        <v>24</v>
      </c>
      <c r="Z416" s="98">
        <v>22</v>
      </c>
      <c r="AA416" s="98">
        <v>23</v>
      </c>
      <c r="AB416" s="98">
        <v>18</v>
      </c>
      <c r="AC416" s="98">
        <v>15</v>
      </c>
      <c r="AD416" s="98">
        <v>16</v>
      </c>
      <c r="AE416" s="98">
        <v>16</v>
      </c>
      <c r="AF416" s="98">
        <v>16</v>
      </c>
      <c r="AG416" s="98">
        <v>17</v>
      </c>
    </row>
    <row r="417" spans="1:33" x14ac:dyDescent="0.3">
      <c r="A417" s="7">
        <v>412</v>
      </c>
      <c r="B417" s="7" t="s">
        <v>603</v>
      </c>
      <c r="C417" s="7" t="s">
        <v>627</v>
      </c>
      <c r="D417" s="8">
        <f>'CDC Source Data'!D141</f>
        <v>115343</v>
      </c>
      <c r="E417" s="8">
        <f>'CDC Source Data'!E141</f>
        <v>16</v>
      </c>
      <c r="F417" s="31">
        <f t="shared" si="6"/>
        <v>13.87234181450231</v>
      </c>
      <c r="G417" s="9">
        <f>'CDC Source Data'!F141</f>
        <v>0</v>
      </c>
      <c r="H417" s="7" t="str">
        <f>'CDC Source Data'!G141</f>
        <v>Completeness of provisional 2019 data under 90% after 6 months.</v>
      </c>
      <c r="I417" s="97">
        <v>7</v>
      </c>
      <c r="J417" s="97">
        <v>7.3</v>
      </c>
      <c r="K417" s="100"/>
      <c r="L417" s="100"/>
      <c r="M417" s="100"/>
      <c r="N417" s="100"/>
      <c r="O417" s="100"/>
      <c r="P417" s="100"/>
      <c r="Q417" s="100"/>
      <c r="R417" s="98">
        <v>12</v>
      </c>
      <c r="S417" s="98">
        <v>13</v>
      </c>
      <c r="T417" s="98">
        <v>14</v>
      </c>
      <c r="U417" s="98">
        <v>14</v>
      </c>
      <c r="V417" s="98">
        <v>11</v>
      </c>
      <c r="W417" s="100"/>
      <c r="X417" s="100"/>
      <c r="Y417" s="100"/>
      <c r="Z417" s="100"/>
      <c r="AA417" s="98">
        <v>11</v>
      </c>
      <c r="AB417" s="100"/>
      <c r="AC417" s="100"/>
      <c r="AD417" s="98">
        <v>11</v>
      </c>
      <c r="AE417" s="98">
        <v>11</v>
      </c>
      <c r="AF417" s="98">
        <v>14</v>
      </c>
      <c r="AG417" s="98">
        <v>16</v>
      </c>
    </row>
    <row r="418" spans="1:33" x14ac:dyDescent="0.3">
      <c r="A418" s="7">
        <v>413</v>
      </c>
      <c r="B418" s="7" t="s">
        <v>574</v>
      </c>
      <c r="C418" s="7" t="s">
        <v>19</v>
      </c>
      <c r="D418" s="8">
        <f>'CDC Source Data'!D360</f>
        <v>108140</v>
      </c>
      <c r="E418" s="8">
        <f>'CDC Source Data'!E360</f>
        <v>15</v>
      </c>
      <c r="F418" s="31">
        <f t="shared" si="6"/>
        <v>13.871669715544073</v>
      </c>
      <c r="G418" s="9">
        <f>'CDC Source Data'!F360</f>
        <v>0.19</v>
      </c>
      <c r="H418" s="7" t="str">
        <f>'CDC Source Data'!G360</f>
        <v>Completeness of provisional 2019 data under 90% after 6 months.</v>
      </c>
      <c r="I418" s="97">
        <v>32.9</v>
      </c>
      <c r="J418" s="97">
        <v>34.299999999999997</v>
      </c>
      <c r="K418" s="98">
        <v>44</v>
      </c>
      <c r="L418" s="98">
        <v>47</v>
      </c>
      <c r="M418" s="98">
        <v>46</v>
      </c>
      <c r="N418" s="98">
        <v>47</v>
      </c>
      <c r="O418" s="98">
        <v>48</v>
      </c>
      <c r="P418" s="98">
        <v>46</v>
      </c>
      <c r="Q418" s="98">
        <v>46</v>
      </c>
      <c r="R418" s="98">
        <v>66</v>
      </c>
      <c r="S418" s="98">
        <v>69</v>
      </c>
      <c r="T418" s="98">
        <v>69</v>
      </c>
      <c r="U418" s="98">
        <v>73</v>
      </c>
      <c r="V418" s="98">
        <v>51</v>
      </c>
      <c r="W418" s="98">
        <v>44</v>
      </c>
      <c r="X418" s="98">
        <v>45</v>
      </c>
      <c r="Y418" s="98">
        <v>40</v>
      </c>
      <c r="Z418" s="98">
        <v>37</v>
      </c>
      <c r="AA418" s="98">
        <v>35</v>
      </c>
      <c r="AB418" s="98">
        <v>32</v>
      </c>
      <c r="AC418" s="98">
        <v>30</v>
      </c>
      <c r="AD418" s="98">
        <v>28</v>
      </c>
      <c r="AE418" s="98">
        <v>28</v>
      </c>
      <c r="AF418" s="98">
        <v>21</v>
      </c>
      <c r="AG418" s="98">
        <v>15</v>
      </c>
    </row>
    <row r="419" spans="1:33" x14ac:dyDescent="0.3">
      <c r="A419" s="7">
        <v>414</v>
      </c>
      <c r="B419" s="7" t="s">
        <v>769</v>
      </c>
      <c r="C419" s="7" t="s">
        <v>237</v>
      </c>
      <c r="D419" s="8">
        <f>'CDC Source Data'!D251</f>
        <v>736185</v>
      </c>
      <c r="E419" s="8">
        <f>'CDC Source Data'!E251</f>
        <v>102</v>
      </c>
      <c r="F419" s="31">
        <f t="shared" si="6"/>
        <v>13.870908082115776</v>
      </c>
      <c r="G419" s="9">
        <f>'CDC Source Data'!F251</f>
        <v>1.02</v>
      </c>
      <c r="H419" s="7" t="str">
        <f>'CDC Source Data'!G251</f>
        <v>Completeness of provisional 2019 data under 90% after 6 months.</v>
      </c>
      <c r="I419" s="97">
        <v>16.100000000000001</v>
      </c>
      <c r="J419" s="97">
        <v>16.8</v>
      </c>
      <c r="K419" s="98">
        <v>163</v>
      </c>
      <c r="L419" s="98">
        <v>173</v>
      </c>
      <c r="M419" s="98">
        <v>161</v>
      </c>
      <c r="N419" s="98">
        <v>153</v>
      </c>
      <c r="O419" s="98">
        <v>171</v>
      </c>
      <c r="P419" s="98">
        <v>172</v>
      </c>
      <c r="Q419" s="98">
        <v>205</v>
      </c>
      <c r="R419" s="98">
        <v>205</v>
      </c>
      <c r="S419" s="98">
        <v>191</v>
      </c>
      <c r="T419" s="98">
        <v>194</v>
      </c>
      <c r="U419" s="98">
        <v>179</v>
      </c>
      <c r="V419" s="98">
        <v>181</v>
      </c>
      <c r="W419" s="98">
        <v>186</v>
      </c>
      <c r="X419" s="98">
        <v>182</v>
      </c>
      <c r="Y419" s="98">
        <v>189</v>
      </c>
      <c r="Z419" s="98">
        <v>197</v>
      </c>
      <c r="AA419" s="98">
        <v>179</v>
      </c>
      <c r="AB419" s="98">
        <v>163</v>
      </c>
      <c r="AC419" s="98">
        <v>133</v>
      </c>
      <c r="AD419" s="98">
        <v>112</v>
      </c>
      <c r="AE419" s="98">
        <v>117</v>
      </c>
      <c r="AF419" s="98">
        <v>111</v>
      </c>
      <c r="AG419" s="98">
        <v>102</v>
      </c>
    </row>
    <row r="420" spans="1:33" x14ac:dyDescent="0.3">
      <c r="A420" s="7">
        <v>415</v>
      </c>
      <c r="B420" s="7" t="s">
        <v>770</v>
      </c>
      <c r="C420" s="7" t="s">
        <v>19</v>
      </c>
      <c r="D420" s="8">
        <f>'CDC Source Data'!D82</f>
        <v>130108</v>
      </c>
      <c r="E420" s="8">
        <f>'CDC Source Data'!E82</f>
        <v>18</v>
      </c>
      <c r="F420" s="31">
        <f t="shared" si="6"/>
        <v>13.855213023900243</v>
      </c>
      <c r="G420" s="9">
        <f>'CDC Source Data'!F82</f>
        <v>0.22</v>
      </c>
      <c r="H420" s="7" t="str">
        <f>'CDC Source Data'!G82</f>
        <v>Completeness of provisional 2019 data under 90% after 6 months.</v>
      </c>
      <c r="I420" s="97">
        <v>46.2</v>
      </c>
      <c r="J420" s="97">
        <v>48.2</v>
      </c>
      <c r="K420" s="98">
        <v>62</v>
      </c>
      <c r="L420" s="98">
        <v>72</v>
      </c>
      <c r="M420" s="98">
        <v>77</v>
      </c>
      <c r="N420" s="98">
        <v>75</v>
      </c>
      <c r="O420" s="98">
        <v>84</v>
      </c>
      <c r="P420" s="98">
        <v>81</v>
      </c>
      <c r="Q420" s="98">
        <v>95</v>
      </c>
      <c r="R420" s="98">
        <v>91</v>
      </c>
      <c r="S420" s="98">
        <v>88</v>
      </c>
      <c r="T420" s="98">
        <v>86</v>
      </c>
      <c r="U420" s="98">
        <v>80</v>
      </c>
      <c r="V420" s="98">
        <v>89</v>
      </c>
      <c r="W420" s="98">
        <v>88</v>
      </c>
      <c r="X420" s="98">
        <v>92</v>
      </c>
      <c r="Y420" s="98">
        <v>82</v>
      </c>
      <c r="Z420" s="98">
        <v>68</v>
      </c>
      <c r="AA420" s="98">
        <v>60</v>
      </c>
      <c r="AB420" s="98">
        <v>45</v>
      </c>
      <c r="AC420" s="98">
        <v>37</v>
      </c>
      <c r="AD420" s="98">
        <v>32</v>
      </c>
      <c r="AE420" s="98">
        <v>24</v>
      </c>
      <c r="AF420" s="98">
        <v>18</v>
      </c>
      <c r="AG420" s="98">
        <v>18</v>
      </c>
    </row>
    <row r="421" spans="1:33" x14ac:dyDescent="0.3">
      <c r="A421" s="7">
        <v>416</v>
      </c>
      <c r="B421" s="7" t="s">
        <v>771</v>
      </c>
      <c r="C421" s="7" t="s">
        <v>38</v>
      </c>
      <c r="D421" s="8">
        <f>'CDC Source Data'!D427</f>
        <v>195390</v>
      </c>
      <c r="E421" s="8">
        <f>'CDC Source Data'!E427</f>
        <v>27</v>
      </c>
      <c r="F421" s="31">
        <f t="shared" si="6"/>
        <v>13.834660435945521</v>
      </c>
      <c r="G421" s="9">
        <f>'CDC Source Data'!F427</f>
        <v>0.3</v>
      </c>
      <c r="H421" s="7">
        <f>'CDC Source Data'!G427</f>
        <v>0</v>
      </c>
      <c r="I421" s="97">
        <v>10.5</v>
      </c>
      <c r="J421" s="97">
        <v>11</v>
      </c>
      <c r="K421" s="98">
        <v>20</v>
      </c>
      <c r="L421" s="98">
        <v>28</v>
      </c>
      <c r="M421" s="98">
        <v>29</v>
      </c>
      <c r="N421" s="98">
        <v>26</v>
      </c>
      <c r="O421" s="98">
        <v>30</v>
      </c>
      <c r="P421" s="98">
        <v>29</v>
      </c>
      <c r="Q421" s="98">
        <v>31</v>
      </c>
      <c r="R421" s="98">
        <v>36</v>
      </c>
      <c r="S421" s="98">
        <v>30</v>
      </c>
      <c r="T421" s="98">
        <v>31</v>
      </c>
      <c r="U421" s="98">
        <v>37</v>
      </c>
      <c r="V421" s="98">
        <v>29</v>
      </c>
      <c r="W421" s="98">
        <v>31</v>
      </c>
      <c r="X421" s="98">
        <v>28</v>
      </c>
      <c r="Y421" s="98">
        <v>26</v>
      </c>
      <c r="Z421" s="98">
        <v>32</v>
      </c>
      <c r="AA421" s="98">
        <v>32</v>
      </c>
      <c r="AB421" s="98">
        <v>36</v>
      </c>
      <c r="AC421" s="98">
        <v>30</v>
      </c>
      <c r="AD421" s="98">
        <v>27</v>
      </c>
      <c r="AE421" s="98">
        <v>27</v>
      </c>
      <c r="AF421" s="98">
        <v>25</v>
      </c>
      <c r="AG421" s="98">
        <v>27</v>
      </c>
    </row>
    <row r="422" spans="1:33" x14ac:dyDescent="0.3">
      <c r="A422" s="7">
        <v>417</v>
      </c>
      <c r="B422" s="7" t="s">
        <v>464</v>
      </c>
      <c r="C422" s="7" t="s">
        <v>543</v>
      </c>
      <c r="D422" s="8">
        <f>'CDC Source Data'!D584</f>
        <v>130333</v>
      </c>
      <c r="E422" s="8">
        <f>'CDC Source Data'!E584</f>
        <v>18</v>
      </c>
      <c r="F422" s="31">
        <f t="shared" si="6"/>
        <v>13.81851681252879</v>
      </c>
      <c r="G422" s="9">
        <f>'CDC Source Data'!F584</f>
        <v>0.3</v>
      </c>
      <c r="H422" s="7">
        <f>'CDC Source Data'!G584</f>
        <v>0</v>
      </c>
      <c r="I422" s="97">
        <v>21</v>
      </c>
      <c r="J422" s="97">
        <v>21.9</v>
      </c>
      <c r="K422" s="98">
        <v>33</v>
      </c>
      <c r="L422" s="98">
        <v>33</v>
      </c>
      <c r="M422" s="98">
        <v>30</v>
      </c>
      <c r="N422" s="98">
        <v>28</v>
      </c>
      <c r="O422" s="98">
        <v>28</v>
      </c>
      <c r="P422" s="98">
        <v>34</v>
      </c>
      <c r="Q422" s="98">
        <v>39</v>
      </c>
      <c r="R422" s="98">
        <v>38</v>
      </c>
      <c r="S422" s="98">
        <v>39</v>
      </c>
      <c r="T422" s="98">
        <v>35</v>
      </c>
      <c r="U422" s="98">
        <v>32</v>
      </c>
      <c r="V422" s="98">
        <v>32</v>
      </c>
      <c r="W422" s="98">
        <v>27</v>
      </c>
      <c r="X422" s="98">
        <v>30</v>
      </c>
      <c r="Y422" s="98">
        <v>35</v>
      </c>
      <c r="Z422" s="98">
        <v>34</v>
      </c>
      <c r="AA422" s="98">
        <v>40</v>
      </c>
      <c r="AB422" s="98">
        <v>37</v>
      </c>
      <c r="AC422" s="98">
        <v>29</v>
      </c>
      <c r="AD422" s="98">
        <v>31</v>
      </c>
      <c r="AE422" s="98">
        <v>25</v>
      </c>
      <c r="AF422" s="98">
        <v>18</v>
      </c>
      <c r="AG422" s="98">
        <v>18</v>
      </c>
    </row>
    <row r="423" spans="1:33" x14ac:dyDescent="0.3">
      <c r="A423" s="7">
        <v>418</v>
      </c>
      <c r="B423" s="7" t="s">
        <v>772</v>
      </c>
      <c r="C423" s="7" t="s">
        <v>469</v>
      </c>
      <c r="D423" s="8">
        <f>'CDC Source Data'!D432</f>
        <v>188549</v>
      </c>
      <c r="E423" s="8">
        <f>'CDC Source Data'!E432</f>
        <v>26</v>
      </c>
      <c r="F423" s="31">
        <f t="shared" si="6"/>
        <v>13.810777009659871</v>
      </c>
      <c r="G423" s="9">
        <f>'CDC Source Data'!F432</f>
        <v>0.52</v>
      </c>
      <c r="H423" s="7">
        <f>'CDC Source Data'!G432</f>
        <v>0</v>
      </c>
      <c r="I423" s="97">
        <v>20.5</v>
      </c>
      <c r="J423" s="97">
        <v>21.4</v>
      </c>
      <c r="K423" s="98">
        <v>30</v>
      </c>
      <c r="L423" s="98">
        <v>36</v>
      </c>
      <c r="M423" s="98">
        <v>38</v>
      </c>
      <c r="N423" s="98">
        <v>40</v>
      </c>
      <c r="O423" s="98">
        <v>39</v>
      </c>
      <c r="P423" s="98">
        <v>40</v>
      </c>
      <c r="Q423" s="98">
        <v>38</v>
      </c>
      <c r="R423" s="98">
        <v>49</v>
      </c>
      <c r="S423" s="98">
        <v>53</v>
      </c>
      <c r="T423" s="98">
        <v>56</v>
      </c>
      <c r="U423" s="98">
        <v>57</v>
      </c>
      <c r="V423" s="98">
        <v>55</v>
      </c>
      <c r="W423" s="98">
        <v>58</v>
      </c>
      <c r="X423" s="98">
        <v>56</v>
      </c>
      <c r="Y423" s="98">
        <v>56</v>
      </c>
      <c r="Z423" s="98">
        <v>46</v>
      </c>
      <c r="AA423" s="98">
        <v>41</v>
      </c>
      <c r="AB423" s="98">
        <v>36</v>
      </c>
      <c r="AC423" s="98">
        <v>30</v>
      </c>
      <c r="AD423" s="98">
        <v>36</v>
      </c>
      <c r="AE423" s="98">
        <v>29</v>
      </c>
      <c r="AF423" s="98">
        <v>25</v>
      </c>
      <c r="AG423" s="98">
        <v>26</v>
      </c>
    </row>
    <row r="424" spans="1:33" x14ac:dyDescent="0.3">
      <c r="A424" s="7">
        <v>419</v>
      </c>
      <c r="B424" s="7" t="s">
        <v>773</v>
      </c>
      <c r="C424" s="7" t="s">
        <v>469</v>
      </c>
      <c r="D424" s="8">
        <f>'CDC Source Data'!D116</f>
        <v>297703</v>
      </c>
      <c r="E424" s="8">
        <f>'CDC Source Data'!E116</f>
        <v>41</v>
      </c>
      <c r="F424" s="31">
        <f t="shared" si="6"/>
        <v>13.789518904900051</v>
      </c>
      <c r="G424" s="9">
        <f>'CDC Source Data'!F116</f>
        <v>0.25</v>
      </c>
      <c r="H424" s="7">
        <f>'CDC Source Data'!G116</f>
        <v>0</v>
      </c>
      <c r="I424" s="97">
        <v>12</v>
      </c>
      <c r="J424" s="97">
        <v>12.5</v>
      </c>
      <c r="K424" s="98">
        <v>17</v>
      </c>
      <c r="L424" s="98">
        <v>30</v>
      </c>
      <c r="M424" s="98">
        <v>39</v>
      </c>
      <c r="N424" s="98">
        <v>47</v>
      </c>
      <c r="O424" s="98">
        <v>64</v>
      </c>
      <c r="P424" s="98">
        <v>58</v>
      </c>
      <c r="Q424" s="98">
        <v>58</v>
      </c>
      <c r="R424" s="98">
        <v>58</v>
      </c>
      <c r="S424" s="98">
        <v>48</v>
      </c>
      <c r="T424" s="98">
        <v>53</v>
      </c>
      <c r="U424" s="98">
        <v>53</v>
      </c>
      <c r="V424" s="98">
        <v>58</v>
      </c>
      <c r="W424" s="98">
        <v>63</v>
      </c>
      <c r="X424" s="98">
        <v>61</v>
      </c>
      <c r="Y424" s="98">
        <v>63</v>
      </c>
      <c r="Z424" s="98">
        <v>54</v>
      </c>
      <c r="AA424" s="98">
        <v>51</v>
      </c>
      <c r="AB424" s="98">
        <v>47</v>
      </c>
      <c r="AC424" s="98">
        <v>40</v>
      </c>
      <c r="AD424" s="98">
        <v>41</v>
      </c>
      <c r="AE424" s="98">
        <v>37</v>
      </c>
      <c r="AF424" s="98">
        <v>39</v>
      </c>
      <c r="AG424" s="98">
        <v>41</v>
      </c>
    </row>
    <row r="425" spans="1:33" x14ac:dyDescent="0.3">
      <c r="A425" s="7">
        <v>420</v>
      </c>
      <c r="B425" s="7" t="s">
        <v>774</v>
      </c>
      <c r="C425" s="7" t="s">
        <v>604</v>
      </c>
      <c r="D425" s="8">
        <f>'CDC Source Data'!D39</f>
        <v>399578</v>
      </c>
      <c r="E425" s="8">
        <f>'CDC Source Data'!E39</f>
        <v>55</v>
      </c>
      <c r="F425" s="31">
        <f t="shared" si="6"/>
        <v>13.772115161755172</v>
      </c>
      <c r="G425" s="9">
        <f>'CDC Source Data'!F39</f>
        <v>0</v>
      </c>
      <c r="H425" s="7" t="str">
        <f>'CDC Source Data'!G39</f>
        <v>Completeness of provisional 2019 data under 90% after 6 months.</v>
      </c>
      <c r="I425" s="97">
        <v>10</v>
      </c>
      <c r="J425" s="97">
        <v>10.5</v>
      </c>
      <c r="K425" s="98">
        <v>31</v>
      </c>
      <c r="L425" s="98">
        <v>36</v>
      </c>
      <c r="M425" s="98">
        <v>40</v>
      </c>
      <c r="N425" s="98">
        <v>45</v>
      </c>
      <c r="O425" s="98">
        <v>52</v>
      </c>
      <c r="P425" s="98">
        <v>53</v>
      </c>
      <c r="Q425" s="98">
        <v>63</v>
      </c>
      <c r="R425" s="98">
        <v>64</v>
      </c>
      <c r="S425" s="98">
        <v>72</v>
      </c>
      <c r="T425" s="98">
        <v>68</v>
      </c>
      <c r="U425" s="98">
        <v>66</v>
      </c>
      <c r="V425" s="98">
        <v>65</v>
      </c>
      <c r="W425" s="98">
        <v>65</v>
      </c>
      <c r="X425" s="98">
        <v>69</v>
      </c>
      <c r="Y425" s="98">
        <v>66</v>
      </c>
      <c r="Z425" s="98">
        <v>69</v>
      </c>
      <c r="AA425" s="98">
        <v>58</v>
      </c>
      <c r="AB425" s="98">
        <v>58</v>
      </c>
      <c r="AC425" s="98">
        <v>54</v>
      </c>
      <c r="AD425" s="98">
        <v>50</v>
      </c>
      <c r="AE425" s="98">
        <v>57</v>
      </c>
      <c r="AF425" s="98">
        <v>53</v>
      </c>
      <c r="AG425" s="98">
        <v>55</v>
      </c>
    </row>
    <row r="426" spans="1:33" x14ac:dyDescent="0.3">
      <c r="A426" s="7">
        <v>421</v>
      </c>
      <c r="B426" s="7" t="s">
        <v>775</v>
      </c>
      <c r="C426" s="7" t="s">
        <v>11</v>
      </c>
      <c r="D426" s="8">
        <f>'CDC Source Data'!D535</f>
        <v>116469</v>
      </c>
      <c r="E426" s="8">
        <f>'CDC Source Data'!E535</f>
        <v>16</v>
      </c>
      <c r="F426" s="31">
        <f t="shared" si="6"/>
        <v>13.764521570256621</v>
      </c>
      <c r="G426" s="9">
        <f>'CDC Source Data'!F535</f>
        <v>0</v>
      </c>
      <c r="H426" s="7">
        <f>'CDC Source Data'!G535</f>
        <v>0</v>
      </c>
      <c r="I426" s="97">
        <v>21.7</v>
      </c>
      <c r="J426" s="97">
        <v>22.6</v>
      </c>
      <c r="K426" s="98">
        <v>30</v>
      </c>
      <c r="L426" s="98">
        <v>32</v>
      </c>
      <c r="M426" s="98">
        <v>39</v>
      </c>
      <c r="N426" s="98">
        <v>36</v>
      </c>
      <c r="O426" s="98">
        <v>47</v>
      </c>
      <c r="P426" s="98">
        <v>50</v>
      </c>
      <c r="Q426" s="98">
        <v>46</v>
      </c>
      <c r="R426" s="98">
        <v>45</v>
      </c>
      <c r="S426" s="98">
        <v>42</v>
      </c>
      <c r="T426" s="98">
        <v>38</v>
      </c>
      <c r="U426" s="98">
        <v>38</v>
      </c>
      <c r="V426" s="98">
        <v>40</v>
      </c>
      <c r="W426" s="98">
        <v>38</v>
      </c>
      <c r="X426" s="98">
        <v>37</v>
      </c>
      <c r="Y426" s="98">
        <v>32</v>
      </c>
      <c r="Z426" s="98">
        <v>34</v>
      </c>
      <c r="AA426" s="98">
        <v>34</v>
      </c>
      <c r="AB426" s="98">
        <v>33</v>
      </c>
      <c r="AC426" s="98">
        <v>33</v>
      </c>
      <c r="AD426" s="98">
        <v>26</v>
      </c>
      <c r="AE426" s="98">
        <v>21</v>
      </c>
      <c r="AF426" s="98">
        <v>22</v>
      </c>
      <c r="AG426" s="98">
        <v>16</v>
      </c>
    </row>
    <row r="427" spans="1:33" x14ac:dyDescent="0.3">
      <c r="A427" s="7">
        <v>422</v>
      </c>
      <c r="B427" s="7" t="s">
        <v>776</v>
      </c>
      <c r="C427" s="7" t="s">
        <v>230</v>
      </c>
      <c r="D427" s="8">
        <f>'CDC Source Data'!D525</f>
        <v>423726</v>
      </c>
      <c r="E427" s="8">
        <f>'CDC Source Data'!E525</f>
        <v>58</v>
      </c>
      <c r="F427" s="31">
        <f t="shared" si="6"/>
        <v>13.737561067751933</v>
      </c>
      <c r="G427" s="9">
        <f>'CDC Source Data'!F525</f>
        <v>0</v>
      </c>
      <c r="H427" s="7">
        <f>'CDC Source Data'!G525</f>
        <v>0</v>
      </c>
      <c r="I427" s="97">
        <v>21.5</v>
      </c>
      <c r="J427" s="97">
        <v>22.5</v>
      </c>
      <c r="K427" s="98">
        <v>99</v>
      </c>
      <c r="L427" s="98">
        <v>112</v>
      </c>
      <c r="M427" s="98">
        <v>123</v>
      </c>
      <c r="N427" s="98">
        <v>111</v>
      </c>
      <c r="O427" s="98">
        <v>127</v>
      </c>
      <c r="P427" s="98">
        <v>127</v>
      </c>
      <c r="Q427" s="98">
        <v>119</v>
      </c>
      <c r="R427" s="98">
        <v>116</v>
      </c>
      <c r="S427" s="98">
        <v>100</v>
      </c>
      <c r="T427" s="98">
        <v>101</v>
      </c>
      <c r="U427" s="98">
        <v>94</v>
      </c>
      <c r="V427" s="98">
        <v>105</v>
      </c>
      <c r="W427" s="98">
        <v>118</v>
      </c>
      <c r="X427" s="98">
        <v>110</v>
      </c>
      <c r="Y427" s="98">
        <v>116</v>
      </c>
      <c r="Z427" s="98">
        <v>110</v>
      </c>
      <c r="AA427" s="98">
        <v>95</v>
      </c>
      <c r="AB427" s="98">
        <v>85</v>
      </c>
      <c r="AC427" s="98">
        <v>59</v>
      </c>
      <c r="AD427" s="98">
        <v>49</v>
      </c>
      <c r="AE427" s="98">
        <v>43</v>
      </c>
      <c r="AF427" s="98">
        <v>41</v>
      </c>
      <c r="AG427" s="98">
        <v>58</v>
      </c>
    </row>
    <row r="428" spans="1:33" x14ac:dyDescent="0.3">
      <c r="A428" s="7">
        <v>423</v>
      </c>
      <c r="B428" s="7" t="s">
        <v>777</v>
      </c>
      <c r="C428" s="7" t="s">
        <v>469</v>
      </c>
      <c r="D428" s="8">
        <f>'CDC Source Data'!D577</f>
        <v>109792</v>
      </c>
      <c r="E428" s="8">
        <f>'CDC Source Data'!E577</f>
        <v>15</v>
      </c>
      <c r="F428" s="31">
        <f t="shared" si="6"/>
        <v>13.688090888923504</v>
      </c>
      <c r="G428" s="9">
        <f>'CDC Source Data'!F577</f>
        <v>0</v>
      </c>
      <c r="H428" s="7">
        <f>'CDC Source Data'!G577</f>
        <v>0</v>
      </c>
      <c r="I428" s="97">
        <v>18.600000000000001</v>
      </c>
      <c r="J428" s="97">
        <v>19.5</v>
      </c>
      <c r="K428" s="98">
        <v>20</v>
      </c>
      <c r="L428" s="98">
        <v>22</v>
      </c>
      <c r="M428" s="98">
        <v>19</v>
      </c>
      <c r="N428" s="98">
        <v>23</v>
      </c>
      <c r="O428" s="98">
        <v>25</v>
      </c>
      <c r="P428" s="98">
        <v>25</v>
      </c>
      <c r="Q428" s="98">
        <v>25</v>
      </c>
      <c r="R428" s="98">
        <v>25</v>
      </c>
      <c r="S428" s="98">
        <v>21</v>
      </c>
      <c r="T428" s="98">
        <v>18</v>
      </c>
      <c r="U428" s="98">
        <v>22</v>
      </c>
      <c r="V428" s="98">
        <v>22</v>
      </c>
      <c r="W428" s="98">
        <v>32</v>
      </c>
      <c r="X428" s="98">
        <v>33</v>
      </c>
      <c r="Y428" s="98">
        <v>29</v>
      </c>
      <c r="Z428" s="98">
        <v>25</v>
      </c>
      <c r="AA428" s="98">
        <v>21</v>
      </c>
      <c r="AB428" s="98">
        <v>23</v>
      </c>
      <c r="AC428" s="98">
        <v>23</v>
      </c>
      <c r="AD428" s="98">
        <v>24</v>
      </c>
      <c r="AE428" s="98">
        <v>22</v>
      </c>
      <c r="AF428" s="98">
        <v>16</v>
      </c>
      <c r="AG428" s="98">
        <v>15</v>
      </c>
    </row>
    <row r="429" spans="1:33" x14ac:dyDescent="0.3">
      <c r="A429" s="7">
        <v>424</v>
      </c>
      <c r="B429" s="7" t="s">
        <v>701</v>
      </c>
      <c r="C429" s="7" t="s">
        <v>480</v>
      </c>
      <c r="D429" s="8">
        <f>'CDC Source Data'!D35</f>
        <v>102651</v>
      </c>
      <c r="E429" s="8">
        <f>'CDC Source Data'!E35</f>
        <v>14</v>
      </c>
      <c r="F429" s="31">
        <f t="shared" si="6"/>
        <v>13.662197610026233</v>
      </c>
      <c r="G429" s="9">
        <f>'CDC Source Data'!F35</f>
        <v>0.66</v>
      </c>
      <c r="H429" s="7" t="str">
        <f>'CDC Source Data'!G35</f>
        <v>Completeness of provisional 2019 data under 90% after 6 months.</v>
      </c>
      <c r="I429" s="97">
        <v>26</v>
      </c>
      <c r="J429" s="97">
        <v>27.2</v>
      </c>
      <c r="K429" s="98">
        <v>31</v>
      </c>
      <c r="L429" s="98">
        <v>36</v>
      </c>
      <c r="M429" s="98">
        <v>33</v>
      </c>
      <c r="N429" s="98">
        <v>39</v>
      </c>
      <c r="O429" s="98">
        <v>40</v>
      </c>
      <c r="P429" s="98">
        <v>37</v>
      </c>
      <c r="Q429" s="98">
        <v>45</v>
      </c>
      <c r="R429" s="98">
        <v>40</v>
      </c>
      <c r="S429" s="98">
        <v>41</v>
      </c>
      <c r="T429" s="98">
        <v>36</v>
      </c>
      <c r="U429" s="98">
        <v>29</v>
      </c>
      <c r="V429" s="98">
        <v>28</v>
      </c>
      <c r="W429" s="98">
        <v>26</v>
      </c>
      <c r="X429" s="98">
        <v>31</v>
      </c>
      <c r="Y429" s="98">
        <v>31</v>
      </c>
      <c r="Z429" s="98">
        <v>35</v>
      </c>
      <c r="AA429" s="98">
        <v>29</v>
      </c>
      <c r="AB429" s="98">
        <v>29</v>
      </c>
      <c r="AC429" s="98">
        <v>28</v>
      </c>
      <c r="AD429" s="98">
        <v>20</v>
      </c>
      <c r="AE429" s="98">
        <v>22</v>
      </c>
      <c r="AF429" s="98">
        <v>15</v>
      </c>
      <c r="AG429" s="98">
        <v>14</v>
      </c>
    </row>
    <row r="430" spans="1:33" x14ac:dyDescent="0.3">
      <c r="A430" s="7">
        <v>425</v>
      </c>
      <c r="B430" s="7" t="s">
        <v>778</v>
      </c>
      <c r="C430" s="7" t="s">
        <v>237</v>
      </c>
      <c r="D430" s="8">
        <f>'CDC Source Data'!D579</f>
        <v>112031</v>
      </c>
      <c r="E430" s="8">
        <f>'CDC Source Data'!E579</f>
        <v>15</v>
      </c>
      <c r="F430" s="31">
        <f t="shared" si="6"/>
        <v>13.638444827619798</v>
      </c>
      <c r="G430" s="9">
        <f>'CDC Source Data'!F579</f>
        <v>0.28000000000000003</v>
      </c>
      <c r="H430" s="7">
        <f>'CDC Source Data'!G579</f>
        <v>0</v>
      </c>
      <c r="I430" s="97">
        <v>21</v>
      </c>
      <c r="J430" s="97">
        <v>21.9</v>
      </c>
      <c r="K430" s="98">
        <v>21</v>
      </c>
      <c r="L430" s="98">
        <v>29</v>
      </c>
      <c r="M430" s="98">
        <v>32</v>
      </c>
      <c r="N430" s="98">
        <v>33</v>
      </c>
      <c r="O430" s="98">
        <v>38</v>
      </c>
      <c r="P430" s="98">
        <v>32</v>
      </c>
      <c r="Q430" s="98">
        <v>34</v>
      </c>
      <c r="R430" s="98">
        <v>35</v>
      </c>
      <c r="S430" s="98">
        <v>33</v>
      </c>
      <c r="T430" s="98">
        <v>32</v>
      </c>
      <c r="U430" s="98">
        <v>34</v>
      </c>
      <c r="V430" s="98">
        <v>34</v>
      </c>
      <c r="W430" s="98">
        <v>33</v>
      </c>
      <c r="X430" s="98">
        <v>31</v>
      </c>
      <c r="Y430" s="98">
        <v>33</v>
      </c>
      <c r="Z430" s="98">
        <v>34</v>
      </c>
      <c r="AA430" s="98">
        <v>31</v>
      </c>
      <c r="AB430" s="98">
        <v>29</v>
      </c>
      <c r="AC430" s="98">
        <v>24</v>
      </c>
      <c r="AD430" s="98">
        <v>18</v>
      </c>
      <c r="AE430" s="98">
        <v>17</v>
      </c>
      <c r="AF430" s="98">
        <v>19</v>
      </c>
      <c r="AG430" s="98">
        <v>15</v>
      </c>
    </row>
    <row r="431" spans="1:33" x14ac:dyDescent="0.3">
      <c r="A431" s="7">
        <v>426</v>
      </c>
      <c r="B431" s="7" t="s">
        <v>736</v>
      </c>
      <c r="C431" s="7" t="s">
        <v>50</v>
      </c>
      <c r="D431" s="8">
        <f>'CDC Source Data'!D421</f>
        <v>1533646</v>
      </c>
      <c r="E431" s="8">
        <f>'CDC Source Data'!E421</f>
        <v>205</v>
      </c>
      <c r="F431" s="31">
        <f t="shared" si="6"/>
        <v>13.389151217073847</v>
      </c>
      <c r="G431" s="9">
        <f>'CDC Source Data'!F421</f>
        <v>0.05</v>
      </c>
      <c r="H431" s="7">
        <f>'CDC Source Data'!G421</f>
        <v>0</v>
      </c>
      <c r="I431" s="97">
        <v>18.7</v>
      </c>
      <c r="J431" s="97">
        <v>19.5</v>
      </c>
      <c r="K431" s="98">
        <v>305</v>
      </c>
      <c r="L431" s="98">
        <v>344</v>
      </c>
      <c r="M431" s="98">
        <v>367</v>
      </c>
      <c r="N431" s="98">
        <v>354</v>
      </c>
      <c r="O431" s="98">
        <v>389</v>
      </c>
      <c r="P431" s="98">
        <v>423</v>
      </c>
      <c r="Q431" s="98">
        <v>424</v>
      </c>
      <c r="R431" s="98">
        <v>422</v>
      </c>
      <c r="S431" s="98">
        <v>388</v>
      </c>
      <c r="T431" s="98">
        <v>354</v>
      </c>
      <c r="U431" s="98">
        <v>350</v>
      </c>
      <c r="V431" s="98">
        <v>376</v>
      </c>
      <c r="W431" s="98">
        <v>402</v>
      </c>
      <c r="X431" s="98">
        <v>420</v>
      </c>
      <c r="Y431" s="98">
        <v>418</v>
      </c>
      <c r="Z431" s="98">
        <v>393</v>
      </c>
      <c r="AA431" s="98">
        <v>384</v>
      </c>
      <c r="AB431" s="98">
        <v>348</v>
      </c>
      <c r="AC431" s="98">
        <v>312</v>
      </c>
      <c r="AD431" s="98">
        <v>281</v>
      </c>
      <c r="AE431" s="98">
        <v>243</v>
      </c>
      <c r="AF431" s="98">
        <v>219</v>
      </c>
      <c r="AG431" s="98">
        <v>205</v>
      </c>
    </row>
    <row r="432" spans="1:33" x14ac:dyDescent="0.3">
      <c r="A432" s="7">
        <v>427</v>
      </c>
      <c r="B432" s="7" t="s">
        <v>779</v>
      </c>
      <c r="C432" s="7" t="s">
        <v>17</v>
      </c>
      <c r="D432" s="8">
        <f>'CDC Source Data'!D309</f>
        <v>374574</v>
      </c>
      <c r="E432" s="8">
        <f>'CDC Source Data'!E309</f>
        <v>50</v>
      </c>
      <c r="F432" s="31">
        <f t="shared" si="6"/>
        <v>13.366839544458109</v>
      </c>
      <c r="G432" s="9">
        <f>'CDC Source Data'!F309</f>
        <v>7.0000000000000007E-2</v>
      </c>
      <c r="H432" s="7" t="str">
        <f>'CDC Source Data'!G309</f>
        <v>Completeness of provisional 2019 data under 90% after 6 months.</v>
      </c>
      <c r="I432" s="97">
        <v>18.3</v>
      </c>
      <c r="J432" s="97">
        <v>19.100000000000001</v>
      </c>
      <c r="K432" s="98">
        <v>59</v>
      </c>
      <c r="L432" s="98">
        <v>64</v>
      </c>
      <c r="M432" s="98">
        <v>65</v>
      </c>
      <c r="N432" s="98">
        <v>56</v>
      </c>
      <c r="O432" s="98">
        <v>53</v>
      </c>
      <c r="P432" s="98">
        <v>61</v>
      </c>
      <c r="Q432" s="98">
        <v>66</v>
      </c>
      <c r="R432" s="98">
        <v>80</v>
      </c>
      <c r="S432" s="98">
        <v>76</v>
      </c>
      <c r="T432" s="98">
        <v>68</v>
      </c>
      <c r="U432" s="98">
        <v>67</v>
      </c>
      <c r="V432" s="98">
        <v>66</v>
      </c>
      <c r="W432" s="98">
        <v>66</v>
      </c>
      <c r="X432" s="98">
        <v>66</v>
      </c>
      <c r="Y432" s="98">
        <v>68</v>
      </c>
      <c r="Z432" s="98">
        <v>67</v>
      </c>
      <c r="AA432" s="98">
        <v>67</v>
      </c>
      <c r="AB432" s="98">
        <v>65</v>
      </c>
      <c r="AC432" s="98">
        <v>58</v>
      </c>
      <c r="AD432" s="98">
        <v>52</v>
      </c>
      <c r="AE432" s="98">
        <v>50</v>
      </c>
      <c r="AF432" s="98">
        <v>47</v>
      </c>
      <c r="AG432" s="98">
        <v>50</v>
      </c>
    </row>
    <row r="433" spans="1:33" x14ac:dyDescent="0.3">
      <c r="A433" s="7">
        <v>428</v>
      </c>
      <c r="B433" s="7" t="s">
        <v>780</v>
      </c>
      <c r="C433" s="7" t="s">
        <v>24</v>
      </c>
      <c r="D433" s="8">
        <f>'CDC Source Data'!D426</f>
        <v>157874</v>
      </c>
      <c r="E433" s="8">
        <f>'CDC Source Data'!E426</f>
        <v>21</v>
      </c>
      <c r="F433" s="31">
        <f t="shared" si="6"/>
        <v>13.348497226182277</v>
      </c>
      <c r="G433" s="9">
        <f>'CDC Source Data'!F426</f>
        <v>0</v>
      </c>
      <c r="H433" s="7">
        <f>'CDC Source Data'!G426</f>
        <v>0</v>
      </c>
      <c r="I433" s="97">
        <v>17.8</v>
      </c>
      <c r="J433" s="97">
        <v>18.600000000000001</v>
      </c>
      <c r="K433" s="98">
        <v>24</v>
      </c>
      <c r="L433" s="98">
        <v>29</v>
      </c>
      <c r="M433" s="98">
        <v>34</v>
      </c>
      <c r="N433" s="98">
        <v>33</v>
      </c>
      <c r="O433" s="98">
        <v>42</v>
      </c>
      <c r="P433" s="98">
        <v>48</v>
      </c>
      <c r="Q433" s="98">
        <v>54</v>
      </c>
      <c r="R433" s="98">
        <v>58</v>
      </c>
      <c r="S433" s="98">
        <v>58</v>
      </c>
      <c r="T433" s="98">
        <v>55</v>
      </c>
      <c r="U433" s="98">
        <v>58</v>
      </c>
      <c r="V433" s="98">
        <v>66</v>
      </c>
      <c r="W433" s="98">
        <v>70</v>
      </c>
      <c r="X433" s="98">
        <v>83</v>
      </c>
      <c r="Y433" s="98">
        <v>86</v>
      </c>
      <c r="Z433" s="98">
        <v>86</v>
      </c>
      <c r="AA433" s="98">
        <v>76</v>
      </c>
      <c r="AB433" s="98">
        <v>59</v>
      </c>
      <c r="AC433" s="98">
        <v>40</v>
      </c>
      <c r="AD433" s="98">
        <v>23</v>
      </c>
      <c r="AE433" s="98">
        <v>21</v>
      </c>
      <c r="AF433" s="98">
        <v>22</v>
      </c>
      <c r="AG433" s="98">
        <v>21</v>
      </c>
    </row>
    <row r="434" spans="1:33" x14ac:dyDescent="0.3">
      <c r="A434" s="7">
        <v>429</v>
      </c>
      <c r="B434" s="7" t="s">
        <v>516</v>
      </c>
      <c r="C434" s="7" t="s">
        <v>467</v>
      </c>
      <c r="D434" s="8">
        <f>'CDC Source Data'!D595</f>
        <v>120338</v>
      </c>
      <c r="E434" s="8">
        <f>'CDC Source Data'!E595</f>
        <v>16</v>
      </c>
      <c r="F434" s="31">
        <f t="shared" si="6"/>
        <v>13.301746962767776</v>
      </c>
      <c r="G434" s="9">
        <f>'CDC Source Data'!F595</f>
        <v>1.25</v>
      </c>
      <c r="H434" s="7" t="str">
        <f>'CDC Source Data'!G595</f>
        <v>Completeness of provisional 2019 data under 90% after 6 months.</v>
      </c>
      <c r="I434" s="97">
        <v>17.7</v>
      </c>
      <c r="J434" s="97">
        <v>18.5</v>
      </c>
      <c r="K434" s="98">
        <v>37</v>
      </c>
      <c r="L434" s="98">
        <v>38</v>
      </c>
      <c r="M434" s="98">
        <v>31</v>
      </c>
      <c r="N434" s="98">
        <v>33</v>
      </c>
      <c r="O434" s="98">
        <v>36</v>
      </c>
      <c r="P434" s="98">
        <v>34</v>
      </c>
      <c r="Q434" s="98">
        <v>36</v>
      </c>
      <c r="R434" s="98">
        <v>36</v>
      </c>
      <c r="S434" s="98">
        <v>30</v>
      </c>
      <c r="T434" s="98">
        <v>24</v>
      </c>
      <c r="U434" s="98">
        <v>28</v>
      </c>
      <c r="V434" s="98">
        <v>27</v>
      </c>
      <c r="W434" s="98">
        <v>33</v>
      </c>
      <c r="X434" s="98">
        <v>37</v>
      </c>
      <c r="Y434" s="98">
        <v>35</v>
      </c>
      <c r="Z434" s="98">
        <v>27</v>
      </c>
      <c r="AA434" s="98">
        <v>25</v>
      </c>
      <c r="AB434" s="98">
        <v>29</v>
      </c>
      <c r="AC434" s="98">
        <v>25</v>
      </c>
      <c r="AD434" s="98">
        <v>30</v>
      </c>
      <c r="AE434" s="98">
        <v>26</v>
      </c>
      <c r="AF434" s="98">
        <v>18</v>
      </c>
      <c r="AG434" s="98">
        <v>16</v>
      </c>
    </row>
    <row r="435" spans="1:33" x14ac:dyDescent="0.3">
      <c r="A435" s="7">
        <v>430</v>
      </c>
      <c r="B435" s="7" t="s">
        <v>781</v>
      </c>
      <c r="C435" s="7" t="s">
        <v>262</v>
      </c>
      <c r="D435" s="8">
        <f>'CDC Source Data'!D353</f>
        <v>315959</v>
      </c>
      <c r="E435" s="8">
        <f>'CDC Source Data'!E353</f>
        <v>42</v>
      </c>
      <c r="F435" s="31">
        <f t="shared" si="6"/>
        <v>13.29588326214496</v>
      </c>
      <c r="G435" s="9">
        <f>'CDC Source Data'!F353</f>
        <v>0.08</v>
      </c>
      <c r="H435" s="7">
        <f>'CDC Source Data'!G353</f>
        <v>0</v>
      </c>
      <c r="I435" s="97">
        <v>17.2</v>
      </c>
      <c r="J435" s="97">
        <v>18</v>
      </c>
      <c r="K435" s="98">
        <v>43</v>
      </c>
      <c r="L435" s="98">
        <v>51</v>
      </c>
      <c r="M435" s="98">
        <v>63</v>
      </c>
      <c r="N435" s="98">
        <v>68</v>
      </c>
      <c r="O435" s="98">
        <v>72</v>
      </c>
      <c r="P435" s="98">
        <v>67</v>
      </c>
      <c r="Q435" s="98">
        <v>61</v>
      </c>
      <c r="R435" s="98">
        <v>52</v>
      </c>
      <c r="S435" s="98">
        <v>52</v>
      </c>
      <c r="T435" s="98">
        <v>47</v>
      </c>
      <c r="U435" s="98">
        <v>49</v>
      </c>
      <c r="V435" s="98">
        <v>53</v>
      </c>
      <c r="W435" s="98">
        <v>48</v>
      </c>
      <c r="X435" s="98">
        <v>52</v>
      </c>
      <c r="Y435" s="98">
        <v>50</v>
      </c>
      <c r="Z435" s="98">
        <v>52</v>
      </c>
      <c r="AA435" s="98">
        <v>62</v>
      </c>
      <c r="AB435" s="98">
        <v>55</v>
      </c>
      <c r="AC435" s="98">
        <v>51</v>
      </c>
      <c r="AD435" s="98">
        <v>49</v>
      </c>
      <c r="AE435" s="98">
        <v>45</v>
      </c>
      <c r="AF435" s="98">
        <v>45</v>
      </c>
      <c r="AG435" s="98">
        <v>42</v>
      </c>
    </row>
    <row r="436" spans="1:33" x14ac:dyDescent="0.3">
      <c r="A436" s="7">
        <v>431</v>
      </c>
      <c r="B436" s="7" t="s">
        <v>637</v>
      </c>
      <c r="C436" s="7" t="s">
        <v>38</v>
      </c>
      <c r="D436" s="8">
        <f>'CDC Source Data'!D612</f>
        <v>173307</v>
      </c>
      <c r="E436" s="8">
        <f>'CDC Source Data'!E612</f>
        <v>23</v>
      </c>
      <c r="F436" s="31">
        <f t="shared" si="6"/>
        <v>13.292863947537498</v>
      </c>
      <c r="G436" s="9">
        <f>'CDC Source Data'!F612</f>
        <v>0.06</v>
      </c>
      <c r="H436" s="7">
        <f>'CDC Source Data'!G612</f>
        <v>0</v>
      </c>
      <c r="I436" s="97">
        <v>17.600000000000001</v>
      </c>
      <c r="J436" s="97">
        <v>18.399999999999999</v>
      </c>
      <c r="K436" s="98">
        <v>23</v>
      </c>
      <c r="L436" s="98">
        <v>35</v>
      </c>
      <c r="M436" s="98">
        <v>39</v>
      </c>
      <c r="N436" s="98">
        <v>38</v>
      </c>
      <c r="O436" s="98">
        <v>43</v>
      </c>
      <c r="P436" s="98">
        <v>39</v>
      </c>
      <c r="Q436" s="98">
        <v>36</v>
      </c>
      <c r="R436" s="98">
        <v>42</v>
      </c>
      <c r="S436" s="98">
        <v>39</v>
      </c>
      <c r="T436" s="98">
        <v>37</v>
      </c>
      <c r="U436" s="98">
        <v>42</v>
      </c>
      <c r="V436" s="98">
        <v>37</v>
      </c>
      <c r="W436" s="98">
        <v>38</v>
      </c>
      <c r="X436" s="98">
        <v>40</v>
      </c>
      <c r="Y436" s="98">
        <v>40</v>
      </c>
      <c r="Z436" s="98">
        <v>42</v>
      </c>
      <c r="AA436" s="98">
        <v>41</v>
      </c>
      <c r="AB436" s="98">
        <v>35</v>
      </c>
      <c r="AC436" s="98">
        <v>28</v>
      </c>
      <c r="AD436" s="98">
        <v>25</v>
      </c>
      <c r="AE436" s="98">
        <v>20</v>
      </c>
      <c r="AF436" s="98">
        <v>21</v>
      </c>
      <c r="AG436" s="98">
        <v>23</v>
      </c>
    </row>
    <row r="437" spans="1:33" x14ac:dyDescent="0.3">
      <c r="A437" s="7">
        <v>432</v>
      </c>
      <c r="B437" s="7" t="s">
        <v>782</v>
      </c>
      <c r="C437" s="7" t="s">
        <v>15</v>
      </c>
      <c r="D437" s="8">
        <f>'CDC Source Data'!D255</f>
        <v>181724</v>
      </c>
      <c r="E437" s="8">
        <f>'CDC Source Data'!E255</f>
        <v>24</v>
      </c>
      <c r="F437" s="31">
        <f t="shared" si="6"/>
        <v>13.271246977906261</v>
      </c>
      <c r="G437" s="9">
        <f>'CDC Source Data'!F255</f>
        <v>3.77</v>
      </c>
      <c r="H437" s="7" t="str">
        <f>'CDC Source Data'!G255</f>
        <v>Completeness of provisional 2019 data under 90% after 6 months.</v>
      </c>
      <c r="I437" s="97">
        <v>17.8</v>
      </c>
      <c r="J437" s="97">
        <v>18.600000000000001</v>
      </c>
      <c r="K437" s="98">
        <v>35</v>
      </c>
      <c r="L437" s="98">
        <v>44</v>
      </c>
      <c r="M437" s="98">
        <v>59</v>
      </c>
      <c r="N437" s="98">
        <v>64</v>
      </c>
      <c r="O437" s="98">
        <v>57</v>
      </c>
      <c r="P437" s="98">
        <v>48</v>
      </c>
      <c r="Q437" s="98">
        <v>29</v>
      </c>
      <c r="R437" s="98">
        <v>19</v>
      </c>
      <c r="S437" s="98">
        <v>19</v>
      </c>
      <c r="T437" s="98">
        <v>21</v>
      </c>
      <c r="U437" s="98">
        <v>25</v>
      </c>
      <c r="V437" s="98">
        <v>31</v>
      </c>
      <c r="W437" s="98">
        <v>34</v>
      </c>
      <c r="X437" s="98">
        <v>30</v>
      </c>
      <c r="Y437" s="98">
        <v>24</v>
      </c>
      <c r="Z437" s="98">
        <v>22</v>
      </c>
      <c r="AA437" s="98">
        <v>20</v>
      </c>
      <c r="AB437" s="98">
        <v>28</v>
      </c>
      <c r="AC437" s="98">
        <v>29</v>
      </c>
      <c r="AD437" s="98">
        <v>24</v>
      </c>
      <c r="AE437" s="98">
        <v>31</v>
      </c>
      <c r="AF437" s="98">
        <v>25</v>
      </c>
      <c r="AG437" s="98">
        <v>24</v>
      </c>
    </row>
    <row r="438" spans="1:33" x14ac:dyDescent="0.3">
      <c r="A438" s="7">
        <v>433</v>
      </c>
      <c r="B438" s="7" t="s">
        <v>783</v>
      </c>
      <c r="C438" s="7" t="s">
        <v>32</v>
      </c>
      <c r="D438" s="8">
        <f>'CDC Source Data'!D414</f>
        <v>228347</v>
      </c>
      <c r="E438" s="8">
        <f>'CDC Source Data'!E414</f>
        <v>30</v>
      </c>
      <c r="F438" s="31">
        <f t="shared" si="6"/>
        <v>13.206841143712444</v>
      </c>
      <c r="G438" s="9">
        <f>'CDC Source Data'!F414</f>
        <v>0.47</v>
      </c>
      <c r="H438" s="7">
        <f>'CDC Source Data'!G414</f>
        <v>0</v>
      </c>
      <c r="I438" s="97">
        <v>17.399999999999999</v>
      </c>
      <c r="J438" s="97">
        <v>18.2</v>
      </c>
      <c r="K438" s="98">
        <v>50</v>
      </c>
      <c r="L438" s="98">
        <v>55</v>
      </c>
      <c r="M438" s="98">
        <v>67</v>
      </c>
      <c r="N438" s="98">
        <v>71</v>
      </c>
      <c r="O438" s="98">
        <v>79</v>
      </c>
      <c r="P438" s="98">
        <v>83</v>
      </c>
      <c r="Q438" s="98">
        <v>89</v>
      </c>
      <c r="R438" s="98">
        <v>82</v>
      </c>
      <c r="S438" s="98">
        <v>76</v>
      </c>
      <c r="T438" s="98">
        <v>76</v>
      </c>
      <c r="U438" s="98">
        <v>80</v>
      </c>
      <c r="V438" s="98">
        <v>84</v>
      </c>
      <c r="W438" s="98">
        <v>76</v>
      </c>
      <c r="X438" s="98">
        <v>72</v>
      </c>
      <c r="Y438" s="98">
        <v>54</v>
      </c>
      <c r="Z438" s="98">
        <v>62</v>
      </c>
      <c r="AA438" s="98">
        <v>72</v>
      </c>
      <c r="AB438" s="98">
        <v>69</v>
      </c>
      <c r="AC438" s="98">
        <v>74</v>
      </c>
      <c r="AD438" s="98">
        <v>58</v>
      </c>
      <c r="AE438" s="98">
        <v>46</v>
      </c>
      <c r="AF438" s="98">
        <v>41</v>
      </c>
      <c r="AG438" s="98">
        <v>30</v>
      </c>
    </row>
    <row r="439" spans="1:33" x14ac:dyDescent="0.3">
      <c r="A439" s="7">
        <v>434</v>
      </c>
      <c r="B439" s="7" t="s">
        <v>784</v>
      </c>
      <c r="C439" s="7" t="s">
        <v>32</v>
      </c>
      <c r="D439" s="8">
        <f>'CDC Source Data'!D567</f>
        <v>182977</v>
      </c>
      <c r="E439" s="8">
        <f>'CDC Source Data'!E567</f>
        <v>24</v>
      </c>
      <c r="F439" s="31">
        <f t="shared" si="6"/>
        <v>13.137899775341914</v>
      </c>
      <c r="G439" s="9">
        <f>'CDC Source Data'!F567</f>
        <v>0.22</v>
      </c>
      <c r="H439" s="7" t="str">
        <f>'CDC Source Data'!G567</f>
        <v>Completeness of provisional 2019 data under 90% after 6 months.</v>
      </c>
      <c r="I439" s="97">
        <v>22.4</v>
      </c>
      <c r="J439" s="97">
        <v>23.4</v>
      </c>
      <c r="K439" s="98">
        <v>55</v>
      </c>
      <c r="L439" s="98">
        <v>72</v>
      </c>
      <c r="M439" s="98">
        <v>81</v>
      </c>
      <c r="N439" s="98">
        <v>80</v>
      </c>
      <c r="O439" s="98">
        <v>84</v>
      </c>
      <c r="P439" s="98">
        <v>72</v>
      </c>
      <c r="Q439" s="98">
        <v>75</v>
      </c>
      <c r="R439" s="98">
        <v>75</v>
      </c>
      <c r="S439" s="98">
        <v>58</v>
      </c>
      <c r="T439" s="98">
        <v>67</v>
      </c>
      <c r="U439" s="98">
        <v>68</v>
      </c>
      <c r="V439" s="98">
        <v>77</v>
      </c>
      <c r="W439" s="98">
        <v>84</v>
      </c>
      <c r="X439" s="98">
        <v>86</v>
      </c>
      <c r="Y439" s="98">
        <v>80</v>
      </c>
      <c r="Z439" s="98">
        <v>66</v>
      </c>
      <c r="AA439" s="98">
        <v>61</v>
      </c>
      <c r="AB439" s="98">
        <v>56</v>
      </c>
      <c r="AC439" s="98">
        <v>52</v>
      </c>
      <c r="AD439" s="98">
        <v>47</v>
      </c>
      <c r="AE439" s="98">
        <v>37</v>
      </c>
      <c r="AF439" s="98">
        <v>27</v>
      </c>
      <c r="AG439" s="98">
        <v>24</v>
      </c>
    </row>
    <row r="440" spans="1:33" x14ac:dyDescent="0.3">
      <c r="A440" s="7">
        <v>435</v>
      </c>
      <c r="B440" s="7" t="s">
        <v>496</v>
      </c>
      <c r="C440" s="7" t="s">
        <v>267</v>
      </c>
      <c r="D440" s="8">
        <f>'CDC Source Data'!D163</f>
        <v>121989</v>
      </c>
      <c r="E440" s="8">
        <f>'CDC Source Data'!E163</f>
        <v>16</v>
      </c>
      <c r="F440" s="31">
        <f t="shared" si="6"/>
        <v>13.116402607978053</v>
      </c>
      <c r="G440" s="9">
        <f>'CDC Source Data'!F163</f>
        <v>0</v>
      </c>
      <c r="H440" s="7">
        <f>'CDC Source Data'!G163</f>
        <v>0</v>
      </c>
      <c r="I440" s="97">
        <v>12.9</v>
      </c>
      <c r="J440" s="97">
        <v>13.5</v>
      </c>
      <c r="K440" s="98">
        <v>18</v>
      </c>
      <c r="L440" s="98">
        <v>19</v>
      </c>
      <c r="M440" s="98">
        <v>16</v>
      </c>
      <c r="N440" s="98">
        <v>16</v>
      </c>
      <c r="O440" s="98">
        <v>18</v>
      </c>
      <c r="P440" s="98">
        <v>21</v>
      </c>
      <c r="Q440" s="98">
        <v>24</v>
      </c>
      <c r="R440" s="98">
        <v>24</v>
      </c>
      <c r="S440" s="98">
        <v>21</v>
      </c>
      <c r="T440" s="98">
        <v>22</v>
      </c>
      <c r="U440" s="98">
        <v>20</v>
      </c>
      <c r="V440" s="98">
        <v>23</v>
      </c>
      <c r="W440" s="98">
        <v>23</v>
      </c>
      <c r="X440" s="98">
        <v>20</v>
      </c>
      <c r="Y440" s="98">
        <v>22</v>
      </c>
      <c r="Z440" s="98">
        <v>20</v>
      </c>
      <c r="AA440" s="98">
        <v>19</v>
      </c>
      <c r="AB440" s="98">
        <v>21</v>
      </c>
      <c r="AC440" s="98">
        <v>17</v>
      </c>
      <c r="AD440" s="98">
        <v>17</v>
      </c>
      <c r="AE440" s="98">
        <v>17</v>
      </c>
      <c r="AF440" s="98">
        <v>13</v>
      </c>
      <c r="AG440" s="98">
        <v>16</v>
      </c>
    </row>
    <row r="441" spans="1:33" x14ac:dyDescent="0.3">
      <c r="A441" s="7">
        <v>436</v>
      </c>
      <c r="B441" s="7" t="s">
        <v>785</v>
      </c>
      <c r="C441" s="7" t="s">
        <v>610</v>
      </c>
      <c r="D441" s="8">
        <f>'CDC Source Data'!D86</f>
        <v>266892</v>
      </c>
      <c r="E441" s="8">
        <f>'CDC Source Data'!E86</f>
        <v>35</v>
      </c>
      <c r="F441" s="31">
        <f t="shared" si="6"/>
        <v>13.115936682815663</v>
      </c>
      <c r="G441" s="9">
        <f>'CDC Source Data'!F86</f>
        <v>0.21</v>
      </c>
      <c r="H441" s="7">
        <f>'CDC Source Data'!G86</f>
        <v>0</v>
      </c>
      <c r="I441" s="97">
        <v>11.4</v>
      </c>
      <c r="J441" s="97">
        <v>11.9</v>
      </c>
      <c r="K441" s="98">
        <v>19</v>
      </c>
      <c r="L441" s="98">
        <v>18</v>
      </c>
      <c r="M441" s="98">
        <v>22</v>
      </c>
      <c r="N441" s="98">
        <v>29</v>
      </c>
      <c r="O441" s="98">
        <v>31</v>
      </c>
      <c r="P441" s="98">
        <v>45</v>
      </c>
      <c r="Q441" s="98">
        <v>47</v>
      </c>
      <c r="R441" s="98">
        <v>45</v>
      </c>
      <c r="S441" s="98">
        <v>49</v>
      </c>
      <c r="T441" s="98">
        <v>39</v>
      </c>
      <c r="U441" s="98">
        <v>42</v>
      </c>
      <c r="V441" s="98">
        <v>49</v>
      </c>
      <c r="W441" s="98">
        <v>50</v>
      </c>
      <c r="X441" s="98">
        <v>59</v>
      </c>
      <c r="Y441" s="98">
        <v>59</v>
      </c>
      <c r="Z441" s="98">
        <v>53</v>
      </c>
      <c r="AA441" s="98">
        <v>58</v>
      </c>
      <c r="AB441" s="98">
        <v>52</v>
      </c>
      <c r="AC441" s="98">
        <v>51</v>
      </c>
      <c r="AD441" s="98">
        <v>48</v>
      </c>
      <c r="AE441" s="98">
        <v>43</v>
      </c>
      <c r="AF441" s="98">
        <v>38</v>
      </c>
      <c r="AG441" s="98">
        <v>35</v>
      </c>
    </row>
    <row r="442" spans="1:33" x14ac:dyDescent="0.3">
      <c r="A442" s="7">
        <v>437</v>
      </c>
      <c r="B442" s="7" t="s">
        <v>786</v>
      </c>
      <c r="C442" s="7" t="s">
        <v>262</v>
      </c>
      <c r="D442" s="8">
        <f>'CDC Source Data'!D556</f>
        <v>129821</v>
      </c>
      <c r="E442" s="8">
        <f>'CDC Source Data'!E556</f>
        <v>17</v>
      </c>
      <c r="F442" s="31">
        <f t="shared" si="6"/>
        <v>13.113918738665827</v>
      </c>
      <c r="G442" s="9">
        <f>'CDC Source Data'!F556</f>
        <v>0</v>
      </c>
      <c r="H442" s="7">
        <f>'CDC Source Data'!G556</f>
        <v>0</v>
      </c>
      <c r="I442" s="97">
        <v>18.600000000000001</v>
      </c>
      <c r="J442" s="97">
        <v>19.399999999999999</v>
      </c>
      <c r="K442" s="98">
        <v>20</v>
      </c>
      <c r="L442" s="98">
        <v>26</v>
      </c>
      <c r="M442" s="98">
        <v>28</v>
      </c>
      <c r="N442" s="98">
        <v>26</v>
      </c>
      <c r="O442" s="98">
        <v>25</v>
      </c>
      <c r="P442" s="98">
        <v>30</v>
      </c>
      <c r="Q442" s="98">
        <v>30</v>
      </c>
      <c r="R442" s="98">
        <v>36</v>
      </c>
      <c r="S442" s="98">
        <v>38</v>
      </c>
      <c r="T442" s="98">
        <v>32</v>
      </c>
      <c r="U442" s="98">
        <v>36</v>
      </c>
      <c r="V442" s="98">
        <v>33</v>
      </c>
      <c r="W442" s="98">
        <v>33</v>
      </c>
      <c r="X442" s="98">
        <v>28</v>
      </c>
      <c r="Y442" s="98">
        <v>23</v>
      </c>
      <c r="Z442" s="98">
        <v>32</v>
      </c>
      <c r="AA442" s="98">
        <v>27</v>
      </c>
      <c r="AB442" s="98">
        <v>32</v>
      </c>
      <c r="AC442" s="98">
        <v>32</v>
      </c>
      <c r="AD442" s="98">
        <v>21</v>
      </c>
      <c r="AE442" s="98">
        <v>21</v>
      </c>
      <c r="AF442" s="98">
        <v>19</v>
      </c>
      <c r="AG442" s="98">
        <v>17</v>
      </c>
    </row>
    <row r="443" spans="1:33" x14ac:dyDescent="0.3">
      <c r="A443" s="7">
        <v>438</v>
      </c>
      <c r="B443" s="7" t="s">
        <v>787</v>
      </c>
      <c r="C443" s="7" t="s">
        <v>453</v>
      </c>
      <c r="D443" s="8">
        <f>'CDC Source Data'!D404</f>
        <v>740754</v>
      </c>
      <c r="E443" s="8">
        <f>'CDC Source Data'!E404</f>
        <v>97</v>
      </c>
      <c r="F443" s="31">
        <f t="shared" si="6"/>
        <v>13.094953821030495</v>
      </c>
      <c r="G443" s="9">
        <f>'CDC Source Data'!F404</f>
        <v>0.09</v>
      </c>
      <c r="H443" s="7">
        <f>'CDC Source Data'!G404</f>
        <v>0</v>
      </c>
      <c r="I443" s="97">
        <v>21.9</v>
      </c>
      <c r="J443" s="97">
        <v>22.9</v>
      </c>
      <c r="K443" s="98">
        <v>147</v>
      </c>
      <c r="L443" s="98">
        <v>156</v>
      </c>
      <c r="M443" s="98">
        <v>175</v>
      </c>
      <c r="N443" s="98">
        <v>171</v>
      </c>
      <c r="O443" s="98">
        <v>197</v>
      </c>
      <c r="P443" s="98">
        <v>201</v>
      </c>
      <c r="Q443" s="98">
        <v>192</v>
      </c>
      <c r="R443" s="98">
        <v>189</v>
      </c>
      <c r="S443" s="98">
        <v>178</v>
      </c>
      <c r="T443" s="98">
        <v>179</v>
      </c>
      <c r="U443" s="98">
        <v>176</v>
      </c>
      <c r="V443" s="98">
        <v>184</v>
      </c>
      <c r="W443" s="98">
        <v>185</v>
      </c>
      <c r="X443" s="98">
        <v>187</v>
      </c>
      <c r="Y443" s="98">
        <v>200</v>
      </c>
      <c r="Z443" s="98">
        <v>191</v>
      </c>
      <c r="AA443" s="98">
        <v>170</v>
      </c>
      <c r="AB443" s="98">
        <v>147</v>
      </c>
      <c r="AC443" s="98">
        <v>125</v>
      </c>
      <c r="AD443" s="98">
        <v>108</v>
      </c>
      <c r="AE443" s="98">
        <v>110</v>
      </c>
      <c r="AF443" s="98">
        <v>99</v>
      </c>
      <c r="AG443" s="98">
        <v>97</v>
      </c>
    </row>
    <row r="444" spans="1:33" x14ac:dyDescent="0.3">
      <c r="A444" s="7">
        <v>439</v>
      </c>
      <c r="B444" s="7" t="s">
        <v>788</v>
      </c>
      <c r="C444" s="7" t="s">
        <v>467</v>
      </c>
      <c r="D444" s="8">
        <f>'CDC Source Data'!D258</f>
        <v>206361</v>
      </c>
      <c r="E444" s="8">
        <f>'CDC Source Data'!E258</f>
        <v>27</v>
      </c>
      <c r="F444" s="31">
        <f t="shared" si="6"/>
        <v>13.094765603695693</v>
      </c>
      <c r="G444" s="9">
        <f>'CDC Source Data'!F258</f>
        <v>0.36</v>
      </c>
      <c r="H444" s="7" t="str">
        <f>'CDC Source Data'!G258</f>
        <v>Completeness of provisional 2019 data under 90% after 6 months.</v>
      </c>
      <c r="I444" s="97">
        <v>20.6</v>
      </c>
      <c r="J444" s="97">
        <v>21.5</v>
      </c>
      <c r="K444" s="98">
        <v>25</v>
      </c>
      <c r="L444" s="98">
        <v>27</v>
      </c>
      <c r="M444" s="98">
        <v>28</v>
      </c>
      <c r="N444" s="98">
        <v>33</v>
      </c>
      <c r="O444" s="98">
        <v>39</v>
      </c>
      <c r="P444" s="98">
        <v>37</v>
      </c>
      <c r="Q444" s="98">
        <v>40</v>
      </c>
      <c r="R444" s="98">
        <v>41</v>
      </c>
      <c r="S444" s="98">
        <v>41</v>
      </c>
      <c r="T444" s="98">
        <v>45</v>
      </c>
      <c r="U444" s="98">
        <v>43</v>
      </c>
      <c r="V444" s="98">
        <v>48</v>
      </c>
      <c r="W444" s="98">
        <v>51</v>
      </c>
      <c r="X444" s="98">
        <v>52</v>
      </c>
      <c r="Y444" s="98">
        <v>56</v>
      </c>
      <c r="Z444" s="98">
        <v>59</v>
      </c>
      <c r="AA444" s="98">
        <v>55</v>
      </c>
      <c r="AB444" s="98">
        <v>49</v>
      </c>
      <c r="AC444" s="98">
        <v>41</v>
      </c>
      <c r="AD444" s="98">
        <v>26</v>
      </c>
      <c r="AE444" s="98">
        <v>21</v>
      </c>
      <c r="AF444" s="98">
        <v>27</v>
      </c>
      <c r="AG444" s="98">
        <v>27</v>
      </c>
    </row>
    <row r="445" spans="1:33" x14ac:dyDescent="0.3">
      <c r="A445" s="7">
        <v>440</v>
      </c>
      <c r="B445" s="7" t="s">
        <v>789</v>
      </c>
      <c r="C445" s="7" t="s">
        <v>15</v>
      </c>
      <c r="D445" s="8">
        <f>'CDC Source Data'!D489</f>
        <v>742893</v>
      </c>
      <c r="E445" s="8">
        <f>'CDC Source Data'!E489</f>
        <v>97</v>
      </c>
      <c r="F445" s="31">
        <f t="shared" si="6"/>
        <v>13.083867591259978</v>
      </c>
      <c r="G445" s="9">
        <f>'CDC Source Data'!F489</f>
        <v>0.04</v>
      </c>
      <c r="H445" s="7" t="str">
        <f>'CDC Source Data'!G489</f>
        <v>Completeness of provisional 2019 data under 90% after 6 months.</v>
      </c>
      <c r="I445" s="97">
        <v>12.1</v>
      </c>
      <c r="J445" s="97">
        <v>12.6</v>
      </c>
      <c r="K445" s="98">
        <v>92</v>
      </c>
      <c r="L445" s="98">
        <v>101</v>
      </c>
      <c r="M445" s="98">
        <v>112</v>
      </c>
      <c r="N445" s="98">
        <v>123</v>
      </c>
      <c r="O445" s="98">
        <v>135</v>
      </c>
      <c r="P445" s="98">
        <v>133</v>
      </c>
      <c r="Q445" s="98">
        <v>138</v>
      </c>
      <c r="R445" s="98">
        <v>137</v>
      </c>
      <c r="S445" s="98">
        <v>127</v>
      </c>
      <c r="T445" s="98">
        <v>124</v>
      </c>
      <c r="U445" s="98">
        <v>113</v>
      </c>
      <c r="V445" s="98">
        <v>113</v>
      </c>
      <c r="W445" s="98">
        <v>127</v>
      </c>
      <c r="X445" s="98">
        <v>129</v>
      </c>
      <c r="Y445" s="98">
        <v>128</v>
      </c>
      <c r="Z445" s="98">
        <v>120</v>
      </c>
      <c r="AA445" s="98">
        <v>93</v>
      </c>
      <c r="AB445" s="98">
        <v>89</v>
      </c>
      <c r="AC445" s="98">
        <v>84</v>
      </c>
      <c r="AD445" s="98">
        <v>87</v>
      </c>
      <c r="AE445" s="98">
        <v>97</v>
      </c>
      <c r="AF445" s="98">
        <v>101</v>
      </c>
      <c r="AG445" s="98">
        <v>97</v>
      </c>
    </row>
    <row r="446" spans="1:33" x14ac:dyDescent="0.3">
      <c r="A446" s="7">
        <v>441</v>
      </c>
      <c r="B446" s="7" t="s">
        <v>790</v>
      </c>
      <c r="C446" s="7" t="s">
        <v>32</v>
      </c>
      <c r="D446" s="8">
        <f>'CDC Source Data'!D456</f>
        <v>2316841</v>
      </c>
      <c r="E446" s="8">
        <f>'CDC Source Data'!E456</f>
        <v>302</v>
      </c>
      <c r="F446" s="31">
        <f t="shared" si="6"/>
        <v>13.057062053350887</v>
      </c>
      <c r="G446" s="9">
        <f>'CDC Source Data'!F456</f>
        <v>0.35</v>
      </c>
      <c r="H446" s="7">
        <f>'CDC Source Data'!G456</f>
        <v>0</v>
      </c>
      <c r="I446" s="97">
        <v>11.5</v>
      </c>
      <c r="J446" s="97">
        <v>12</v>
      </c>
      <c r="K446" s="98">
        <v>290</v>
      </c>
      <c r="L446" s="98">
        <v>343</v>
      </c>
      <c r="M446" s="98">
        <v>358</v>
      </c>
      <c r="N446" s="98">
        <v>407</v>
      </c>
      <c r="O446" s="98">
        <v>419</v>
      </c>
      <c r="P446" s="98">
        <v>401</v>
      </c>
      <c r="Q446" s="98">
        <v>431</v>
      </c>
      <c r="R446" s="98">
        <v>431</v>
      </c>
      <c r="S446" s="98">
        <v>471</v>
      </c>
      <c r="T446" s="98">
        <v>502</v>
      </c>
      <c r="U446" s="98">
        <v>513</v>
      </c>
      <c r="V446" s="98">
        <v>535</v>
      </c>
      <c r="W446" s="98">
        <v>530</v>
      </c>
      <c r="X446" s="98">
        <v>542</v>
      </c>
      <c r="Y446" s="98">
        <v>552</v>
      </c>
      <c r="Z446" s="98">
        <v>526</v>
      </c>
      <c r="AA446" s="98">
        <v>495</v>
      </c>
      <c r="AB446" s="98">
        <v>439</v>
      </c>
      <c r="AC446" s="98">
        <v>396</v>
      </c>
      <c r="AD446" s="98">
        <v>359</v>
      </c>
      <c r="AE446" s="98">
        <v>325</v>
      </c>
      <c r="AF446" s="98">
        <v>327</v>
      </c>
      <c r="AG446" s="98">
        <v>302</v>
      </c>
    </row>
    <row r="447" spans="1:33" x14ac:dyDescent="0.3">
      <c r="A447" s="7">
        <v>442</v>
      </c>
      <c r="B447" s="7" t="s">
        <v>791</v>
      </c>
      <c r="C447" s="7" t="s">
        <v>239</v>
      </c>
      <c r="D447" s="8">
        <f>'CDC Source Data'!D574</f>
        <v>454808</v>
      </c>
      <c r="E447" s="8">
        <f>'CDC Source Data'!E574</f>
        <v>59</v>
      </c>
      <c r="F447" s="31">
        <f t="shared" si="6"/>
        <v>13.034990316556035</v>
      </c>
      <c r="G447" s="9">
        <f>'CDC Source Data'!F574</f>
        <v>0.11</v>
      </c>
      <c r="H447" s="7">
        <f>'CDC Source Data'!G574</f>
        <v>0</v>
      </c>
      <c r="I447" s="97">
        <v>15.8</v>
      </c>
      <c r="J447" s="97">
        <v>16.5</v>
      </c>
      <c r="K447" s="98">
        <v>57</v>
      </c>
      <c r="L447" s="98">
        <v>71</v>
      </c>
      <c r="M447" s="98">
        <v>97</v>
      </c>
      <c r="N447" s="98">
        <v>115</v>
      </c>
      <c r="O447" s="98">
        <v>130</v>
      </c>
      <c r="P447" s="98">
        <v>131</v>
      </c>
      <c r="Q447" s="98">
        <v>125</v>
      </c>
      <c r="R447" s="98">
        <v>115</v>
      </c>
      <c r="S447" s="98">
        <v>111</v>
      </c>
      <c r="T447" s="98">
        <v>114</v>
      </c>
      <c r="U447" s="98">
        <v>109</v>
      </c>
      <c r="V447" s="98">
        <v>117</v>
      </c>
      <c r="W447" s="98">
        <v>123</v>
      </c>
      <c r="X447" s="98">
        <v>129</v>
      </c>
      <c r="Y447" s="98">
        <v>137</v>
      </c>
      <c r="Z447" s="98">
        <v>126</v>
      </c>
      <c r="AA447" s="98">
        <v>106</v>
      </c>
      <c r="AB447" s="98">
        <v>87</v>
      </c>
      <c r="AC447" s="98">
        <v>70</v>
      </c>
      <c r="AD447" s="98">
        <v>64</v>
      </c>
      <c r="AE447" s="98">
        <v>65</v>
      </c>
      <c r="AF447" s="98">
        <v>64</v>
      </c>
      <c r="AG447" s="98">
        <v>59</v>
      </c>
    </row>
    <row r="448" spans="1:33" x14ac:dyDescent="0.3">
      <c r="A448" s="7">
        <v>443</v>
      </c>
      <c r="B448" s="7" t="s">
        <v>560</v>
      </c>
      <c r="C448" s="7" t="s">
        <v>447</v>
      </c>
      <c r="D448" s="8">
        <f>'CDC Source Data'!D300</f>
        <v>232360</v>
      </c>
      <c r="E448" s="8">
        <f>'CDC Source Data'!E300</f>
        <v>30</v>
      </c>
      <c r="F448" s="31">
        <f t="shared" si="6"/>
        <v>12.972507079910642</v>
      </c>
      <c r="G448" s="9">
        <f>'CDC Source Data'!F300</f>
        <v>0.04</v>
      </c>
      <c r="H448" s="7">
        <f>'CDC Source Data'!G300</f>
        <v>0</v>
      </c>
      <c r="I448" s="97">
        <v>29.2</v>
      </c>
      <c r="J448" s="97">
        <v>30.5</v>
      </c>
      <c r="K448" s="98">
        <v>73</v>
      </c>
      <c r="L448" s="98">
        <v>80</v>
      </c>
      <c r="M448" s="98">
        <v>86</v>
      </c>
      <c r="N448" s="98">
        <v>93</v>
      </c>
      <c r="O448" s="98">
        <v>96</v>
      </c>
      <c r="P448" s="98">
        <v>88</v>
      </c>
      <c r="Q448" s="98">
        <v>86</v>
      </c>
      <c r="R448" s="98">
        <v>81</v>
      </c>
      <c r="S448" s="98">
        <v>85</v>
      </c>
      <c r="T448" s="98">
        <v>87</v>
      </c>
      <c r="U448" s="98">
        <v>79</v>
      </c>
      <c r="V448" s="98">
        <v>91</v>
      </c>
      <c r="W448" s="98">
        <v>84</v>
      </c>
      <c r="X448" s="98">
        <v>71</v>
      </c>
      <c r="Y448" s="98">
        <v>67</v>
      </c>
      <c r="Z448" s="98">
        <v>59</v>
      </c>
      <c r="AA448" s="98">
        <v>60</v>
      </c>
      <c r="AB448" s="98">
        <v>69</v>
      </c>
      <c r="AC448" s="98">
        <v>65</v>
      </c>
      <c r="AD448" s="98">
        <v>53</v>
      </c>
      <c r="AE448" s="98">
        <v>45</v>
      </c>
      <c r="AF448" s="98">
        <v>35</v>
      </c>
      <c r="AG448" s="98">
        <v>30</v>
      </c>
    </row>
    <row r="449" spans="1:33" x14ac:dyDescent="0.3">
      <c r="A449" s="7">
        <v>444</v>
      </c>
      <c r="B449" s="7" t="s">
        <v>725</v>
      </c>
      <c r="C449" s="7" t="s">
        <v>467</v>
      </c>
      <c r="D449" s="8">
        <f>'CDC Source Data'!D569</f>
        <v>263386</v>
      </c>
      <c r="E449" s="8">
        <f>'CDC Source Data'!E569</f>
        <v>34</v>
      </c>
      <c r="F449" s="31">
        <f t="shared" si="6"/>
        <v>12.911000172146668</v>
      </c>
      <c r="G449" s="9">
        <f>'CDC Source Data'!F569</f>
        <v>0.52</v>
      </c>
      <c r="H449" s="7" t="str">
        <f>'CDC Source Data'!G569</f>
        <v>Completeness of provisional 2019 data under 90% after 6 months.</v>
      </c>
      <c r="I449" s="97">
        <v>12.9</v>
      </c>
      <c r="J449" s="97">
        <v>13.4</v>
      </c>
      <c r="K449" s="98">
        <v>34</v>
      </c>
      <c r="L449" s="98">
        <v>38</v>
      </c>
      <c r="M449" s="98">
        <v>33</v>
      </c>
      <c r="N449" s="98">
        <v>42</v>
      </c>
      <c r="O449" s="98">
        <v>42</v>
      </c>
      <c r="P449" s="98">
        <v>41</v>
      </c>
      <c r="Q449" s="98">
        <v>53</v>
      </c>
      <c r="R449" s="98">
        <v>50</v>
      </c>
      <c r="S449" s="98">
        <v>53</v>
      </c>
      <c r="T449" s="98">
        <v>57</v>
      </c>
      <c r="U449" s="98">
        <v>58</v>
      </c>
      <c r="V449" s="98">
        <v>52</v>
      </c>
      <c r="W449" s="98">
        <v>59</v>
      </c>
      <c r="X449" s="98">
        <v>53</v>
      </c>
      <c r="Y449" s="98">
        <v>50</v>
      </c>
      <c r="Z449" s="98">
        <v>53</v>
      </c>
      <c r="AA449" s="98">
        <v>42</v>
      </c>
      <c r="AB449" s="98">
        <v>38</v>
      </c>
      <c r="AC449" s="98">
        <v>33</v>
      </c>
      <c r="AD449" s="98">
        <v>33</v>
      </c>
      <c r="AE449" s="98">
        <v>39</v>
      </c>
      <c r="AF449" s="98">
        <v>35</v>
      </c>
      <c r="AG449" s="98">
        <v>34</v>
      </c>
    </row>
    <row r="450" spans="1:33" x14ac:dyDescent="0.3">
      <c r="A450" s="7">
        <v>445</v>
      </c>
      <c r="B450" s="7" t="s">
        <v>16</v>
      </c>
      <c r="C450" s="7" t="s">
        <v>604</v>
      </c>
      <c r="D450" s="8">
        <f>'CDC Source Data'!D175</f>
        <v>875784</v>
      </c>
      <c r="E450" s="8">
        <f>'CDC Source Data'!E175</f>
        <v>113</v>
      </c>
      <c r="F450" s="31">
        <f t="shared" si="6"/>
        <v>12.908810642934705</v>
      </c>
      <c r="G450" s="9">
        <f>'CDC Source Data'!F175</f>
        <v>0.05</v>
      </c>
      <c r="H450" s="7" t="str">
        <f>'CDC Source Data'!G175</f>
        <v>Completeness of provisional 2019 data under 90% after 6 months.</v>
      </c>
      <c r="I450" s="97">
        <v>11.9</v>
      </c>
      <c r="J450" s="97">
        <v>12.5</v>
      </c>
      <c r="K450" s="98">
        <v>105</v>
      </c>
      <c r="L450" s="98">
        <v>111</v>
      </c>
      <c r="M450" s="98">
        <v>123</v>
      </c>
      <c r="N450" s="98">
        <v>130</v>
      </c>
      <c r="O450" s="98">
        <v>141</v>
      </c>
      <c r="P450" s="98">
        <v>146</v>
      </c>
      <c r="Q450" s="98">
        <v>144</v>
      </c>
      <c r="R450" s="98">
        <v>151</v>
      </c>
      <c r="S450" s="98">
        <v>147</v>
      </c>
      <c r="T450" s="98">
        <v>153</v>
      </c>
      <c r="U450" s="98">
        <v>157</v>
      </c>
      <c r="V450" s="98">
        <v>149</v>
      </c>
      <c r="W450" s="98">
        <v>154</v>
      </c>
      <c r="X450" s="98">
        <v>163</v>
      </c>
      <c r="Y450" s="98">
        <v>174</v>
      </c>
      <c r="Z450" s="98">
        <v>179</v>
      </c>
      <c r="AA450" s="98">
        <v>172</v>
      </c>
      <c r="AB450" s="98">
        <v>166</v>
      </c>
      <c r="AC450" s="98">
        <v>137</v>
      </c>
      <c r="AD450" s="98">
        <v>123</v>
      </c>
      <c r="AE450" s="98">
        <v>121</v>
      </c>
      <c r="AF450" s="98">
        <v>103</v>
      </c>
      <c r="AG450" s="98">
        <v>113</v>
      </c>
    </row>
    <row r="451" spans="1:33" x14ac:dyDescent="0.3">
      <c r="A451" s="7">
        <v>446</v>
      </c>
      <c r="B451" s="7" t="s">
        <v>617</v>
      </c>
      <c r="C451" s="7" t="s">
        <v>237</v>
      </c>
      <c r="D451" s="8">
        <f>'CDC Source Data'!D551</f>
        <v>147444</v>
      </c>
      <c r="E451" s="8">
        <f>'CDC Source Data'!E551</f>
        <v>19</v>
      </c>
      <c r="F451" s="31">
        <f t="shared" si="6"/>
        <v>12.902724872799686</v>
      </c>
      <c r="G451" s="9">
        <f>'CDC Source Data'!F551</f>
        <v>0.08</v>
      </c>
      <c r="H451" s="7">
        <f>'CDC Source Data'!G551</f>
        <v>0</v>
      </c>
      <c r="I451" s="97">
        <v>21.1</v>
      </c>
      <c r="J451" s="97">
        <v>22</v>
      </c>
      <c r="K451" s="98">
        <v>53</v>
      </c>
      <c r="L451" s="98">
        <v>54</v>
      </c>
      <c r="M451" s="98">
        <v>52</v>
      </c>
      <c r="N451" s="98">
        <v>55</v>
      </c>
      <c r="O451" s="98">
        <v>46</v>
      </c>
      <c r="P451" s="98">
        <v>45</v>
      </c>
      <c r="Q451" s="98">
        <v>43</v>
      </c>
      <c r="R451" s="98">
        <v>35</v>
      </c>
      <c r="S451" s="98">
        <v>35</v>
      </c>
      <c r="T451" s="98">
        <v>36</v>
      </c>
      <c r="U451" s="98">
        <v>33</v>
      </c>
      <c r="V451" s="98">
        <v>38</v>
      </c>
      <c r="W451" s="98">
        <v>48</v>
      </c>
      <c r="X451" s="98">
        <v>44</v>
      </c>
      <c r="Y451" s="98">
        <v>40</v>
      </c>
      <c r="Z451" s="98">
        <v>32</v>
      </c>
      <c r="AA451" s="98">
        <v>24</v>
      </c>
      <c r="AB451" s="98">
        <v>28</v>
      </c>
      <c r="AC451" s="98">
        <v>30</v>
      </c>
      <c r="AD451" s="98">
        <v>30</v>
      </c>
      <c r="AE451" s="98">
        <v>27</v>
      </c>
      <c r="AF451" s="98">
        <v>22</v>
      </c>
      <c r="AG451" s="98">
        <v>19</v>
      </c>
    </row>
    <row r="452" spans="1:33" x14ac:dyDescent="0.3">
      <c r="A452" s="7">
        <v>447</v>
      </c>
      <c r="B452" s="7" t="s">
        <v>792</v>
      </c>
      <c r="C452" s="7" t="s">
        <v>19</v>
      </c>
      <c r="D452" s="8">
        <f>'CDC Source Data'!D104</f>
        <v>560745</v>
      </c>
      <c r="E452" s="8">
        <f>'CDC Source Data'!E104</f>
        <v>72</v>
      </c>
      <c r="F452" s="31">
        <f t="shared" si="6"/>
        <v>12.886248338352189</v>
      </c>
      <c r="G452" s="9">
        <f>'CDC Source Data'!F104</f>
        <v>0.05</v>
      </c>
      <c r="H452" s="7" t="str">
        <f>'CDC Source Data'!G104</f>
        <v>Completeness of provisional 2019 data under 90% after 6 months.</v>
      </c>
      <c r="I452" s="97">
        <v>19.899999999999999</v>
      </c>
      <c r="J452" s="97">
        <v>20.8</v>
      </c>
      <c r="K452" s="98">
        <v>122</v>
      </c>
      <c r="L452" s="98">
        <v>115</v>
      </c>
      <c r="M452" s="98">
        <v>119</v>
      </c>
      <c r="N452" s="98">
        <v>125</v>
      </c>
      <c r="O452" s="98">
        <v>112</v>
      </c>
      <c r="P452" s="98">
        <v>112</v>
      </c>
      <c r="Q452" s="98">
        <v>116</v>
      </c>
      <c r="R452" s="98">
        <v>119</v>
      </c>
      <c r="S452" s="98">
        <v>129</v>
      </c>
      <c r="T452" s="98">
        <v>133</v>
      </c>
      <c r="U452" s="98">
        <v>131</v>
      </c>
      <c r="V452" s="98">
        <v>123</v>
      </c>
      <c r="W452" s="98">
        <v>123</v>
      </c>
      <c r="X452" s="98">
        <v>116</v>
      </c>
      <c r="Y452" s="98">
        <v>108</v>
      </c>
      <c r="Z452" s="98">
        <v>97</v>
      </c>
      <c r="AA452" s="98">
        <v>86</v>
      </c>
      <c r="AB452" s="98">
        <v>72</v>
      </c>
      <c r="AC452" s="98">
        <v>66</v>
      </c>
      <c r="AD452" s="98">
        <v>71</v>
      </c>
      <c r="AE452" s="98">
        <v>67</v>
      </c>
      <c r="AF452" s="98">
        <v>76</v>
      </c>
      <c r="AG452" s="98">
        <v>72</v>
      </c>
    </row>
    <row r="453" spans="1:33" x14ac:dyDescent="0.3">
      <c r="A453" s="7">
        <v>448</v>
      </c>
      <c r="B453" s="7" t="s">
        <v>793</v>
      </c>
      <c r="C453" s="7" t="s">
        <v>239</v>
      </c>
      <c r="D453" s="8">
        <f>'CDC Source Data'!D105</f>
        <v>389793</v>
      </c>
      <c r="E453" s="8">
        <f>'CDC Source Data'!E105</f>
        <v>50</v>
      </c>
      <c r="F453" s="31">
        <f t="shared" si="6"/>
        <v>12.840060990289704</v>
      </c>
      <c r="G453" s="9">
        <f>'CDC Source Data'!F105</f>
        <v>0.06</v>
      </c>
      <c r="H453" s="7">
        <f>'CDC Source Data'!G105</f>
        <v>0</v>
      </c>
      <c r="I453" s="97">
        <v>18.5</v>
      </c>
      <c r="J453" s="97">
        <v>19.3</v>
      </c>
      <c r="K453" s="98">
        <v>95</v>
      </c>
      <c r="L453" s="98">
        <v>97</v>
      </c>
      <c r="M453" s="98">
        <v>103</v>
      </c>
      <c r="N453" s="98">
        <v>112</v>
      </c>
      <c r="O453" s="98">
        <v>127</v>
      </c>
      <c r="P453" s="98">
        <v>134</v>
      </c>
      <c r="Q453" s="98">
        <v>131</v>
      </c>
      <c r="R453" s="98">
        <v>134</v>
      </c>
      <c r="S453" s="98">
        <v>120</v>
      </c>
      <c r="T453" s="98">
        <v>108</v>
      </c>
      <c r="U453" s="98">
        <v>101</v>
      </c>
      <c r="V453" s="98">
        <v>96</v>
      </c>
      <c r="W453" s="98">
        <v>110</v>
      </c>
      <c r="X453" s="98">
        <v>123</v>
      </c>
      <c r="Y453" s="98">
        <v>125</v>
      </c>
      <c r="Z453" s="98">
        <v>117</v>
      </c>
      <c r="AA453" s="98">
        <v>101</v>
      </c>
      <c r="AB453" s="98">
        <v>77</v>
      </c>
      <c r="AC453" s="98">
        <v>70</v>
      </c>
      <c r="AD453" s="98">
        <v>57</v>
      </c>
      <c r="AE453" s="98">
        <v>55</v>
      </c>
      <c r="AF453" s="98">
        <v>64</v>
      </c>
      <c r="AG453" s="98">
        <v>50</v>
      </c>
    </row>
    <row r="454" spans="1:33" x14ac:dyDescent="0.3">
      <c r="A454" s="7">
        <v>449</v>
      </c>
      <c r="B454" s="7" t="s">
        <v>794</v>
      </c>
      <c r="C454" s="7" t="s">
        <v>469</v>
      </c>
      <c r="D454" s="8">
        <f>'CDC Source Data'!D120</f>
        <v>787538</v>
      </c>
      <c r="E454" s="8">
        <f>'CDC Source Data'!E120</f>
        <v>101</v>
      </c>
      <c r="F454" s="31">
        <f t="shared" ref="F454:F517" si="7">IFERROR(E453/D453*100000,"")</f>
        <v>12.827321167901937</v>
      </c>
      <c r="G454" s="9">
        <f>'CDC Source Data'!F120</f>
        <v>0.14000000000000001</v>
      </c>
      <c r="H454" s="7">
        <f>'CDC Source Data'!G120</f>
        <v>0</v>
      </c>
      <c r="I454" s="97">
        <v>16.7</v>
      </c>
      <c r="J454" s="97">
        <v>17.399999999999999</v>
      </c>
      <c r="K454" s="98">
        <v>131</v>
      </c>
      <c r="L454" s="98">
        <v>144</v>
      </c>
      <c r="M454" s="98">
        <v>150</v>
      </c>
      <c r="N454" s="98">
        <v>165</v>
      </c>
      <c r="O454" s="98">
        <v>171</v>
      </c>
      <c r="P454" s="98">
        <v>174</v>
      </c>
      <c r="Q454" s="98">
        <v>180</v>
      </c>
      <c r="R454" s="98">
        <v>174</v>
      </c>
      <c r="S454" s="98">
        <v>176</v>
      </c>
      <c r="T454" s="98">
        <v>182</v>
      </c>
      <c r="U454" s="98">
        <v>173</v>
      </c>
      <c r="V454" s="98">
        <v>181</v>
      </c>
      <c r="W454" s="98">
        <v>179</v>
      </c>
      <c r="X454" s="98">
        <v>170</v>
      </c>
      <c r="Y454" s="98">
        <v>187</v>
      </c>
      <c r="Z454" s="98">
        <v>171</v>
      </c>
      <c r="AA454" s="98">
        <v>162</v>
      </c>
      <c r="AB454" s="98">
        <v>150</v>
      </c>
      <c r="AC454" s="98">
        <v>131</v>
      </c>
      <c r="AD454" s="98">
        <v>126</v>
      </c>
      <c r="AE454" s="98">
        <v>113</v>
      </c>
      <c r="AF454" s="98">
        <v>114</v>
      </c>
      <c r="AG454" s="98">
        <v>101</v>
      </c>
    </row>
    <row r="455" spans="1:33" x14ac:dyDescent="0.3">
      <c r="A455" s="7">
        <v>450</v>
      </c>
      <c r="B455" s="7" t="s">
        <v>795</v>
      </c>
      <c r="C455" s="7" t="s">
        <v>447</v>
      </c>
      <c r="D455" s="8">
        <f>'CDC Source Data'!D448</f>
        <v>163839</v>
      </c>
      <c r="E455" s="8">
        <f>'CDC Source Data'!E448</f>
        <v>21</v>
      </c>
      <c r="F455" s="31">
        <f t="shared" si="7"/>
        <v>12.824777978967365</v>
      </c>
      <c r="G455" s="9">
        <f>'CDC Source Data'!F448</f>
        <v>0</v>
      </c>
      <c r="H455" s="7">
        <f>'CDC Source Data'!G448</f>
        <v>0</v>
      </c>
      <c r="I455" s="97">
        <v>19.3</v>
      </c>
      <c r="J455" s="97">
        <v>20.100000000000001</v>
      </c>
      <c r="K455" s="98">
        <v>36</v>
      </c>
      <c r="L455" s="98">
        <v>35</v>
      </c>
      <c r="M455" s="98">
        <v>36</v>
      </c>
      <c r="N455" s="98">
        <v>37</v>
      </c>
      <c r="O455" s="98">
        <v>40</v>
      </c>
      <c r="P455" s="98">
        <v>46</v>
      </c>
      <c r="Q455" s="98">
        <v>47</v>
      </c>
      <c r="R455" s="98">
        <v>49</v>
      </c>
      <c r="S455" s="98">
        <v>44</v>
      </c>
      <c r="T455" s="98">
        <v>36</v>
      </c>
      <c r="U455" s="98">
        <v>36</v>
      </c>
      <c r="V455" s="98">
        <v>40</v>
      </c>
      <c r="W455" s="98">
        <v>46</v>
      </c>
      <c r="X455" s="98">
        <v>46</v>
      </c>
      <c r="Y455" s="98">
        <v>43</v>
      </c>
      <c r="Z455" s="98">
        <v>32</v>
      </c>
      <c r="AA455" s="98">
        <v>30</v>
      </c>
      <c r="AB455" s="98">
        <v>32</v>
      </c>
      <c r="AC455" s="98">
        <v>32</v>
      </c>
      <c r="AD455" s="98">
        <v>31</v>
      </c>
      <c r="AE455" s="98">
        <v>24</v>
      </c>
      <c r="AF455" s="98">
        <v>22</v>
      </c>
      <c r="AG455" s="98">
        <v>21</v>
      </c>
    </row>
    <row r="456" spans="1:33" x14ac:dyDescent="0.3">
      <c r="A456" s="7">
        <v>451</v>
      </c>
      <c r="B456" s="7" t="s">
        <v>487</v>
      </c>
      <c r="C456" s="7" t="s">
        <v>480</v>
      </c>
      <c r="D456" s="8">
        <f>'CDC Source Data'!D377</f>
        <v>156045</v>
      </c>
      <c r="E456" s="8">
        <f>'CDC Source Data'!E377</f>
        <v>20</v>
      </c>
      <c r="F456" s="31">
        <f t="shared" si="7"/>
        <v>12.817461044073756</v>
      </c>
      <c r="G456" s="9">
        <f>'CDC Source Data'!F377</f>
        <v>0.44</v>
      </c>
      <c r="H456" s="7" t="str">
        <f>'CDC Source Data'!G377</f>
        <v>Completeness of provisional 2019 data under 90% after 6 months.</v>
      </c>
      <c r="I456" s="97">
        <v>29.6</v>
      </c>
      <c r="J456" s="97">
        <v>30.9</v>
      </c>
      <c r="K456" s="98">
        <v>40</v>
      </c>
      <c r="L456" s="98">
        <v>38</v>
      </c>
      <c r="M456" s="98">
        <v>40</v>
      </c>
      <c r="N456" s="98">
        <v>51</v>
      </c>
      <c r="O456" s="98">
        <v>54</v>
      </c>
      <c r="P456" s="98">
        <v>59</v>
      </c>
      <c r="Q456" s="98">
        <v>63</v>
      </c>
      <c r="R456" s="98">
        <v>56</v>
      </c>
      <c r="S456" s="98">
        <v>50</v>
      </c>
      <c r="T456" s="98">
        <v>50</v>
      </c>
      <c r="U456" s="98">
        <v>44</v>
      </c>
      <c r="V456" s="98">
        <v>42</v>
      </c>
      <c r="W456" s="98">
        <v>38</v>
      </c>
      <c r="X456" s="98">
        <v>34</v>
      </c>
      <c r="Y456" s="98">
        <v>34</v>
      </c>
      <c r="Z456" s="98">
        <v>27</v>
      </c>
      <c r="AA456" s="98">
        <v>25</v>
      </c>
      <c r="AB456" s="98">
        <v>24</v>
      </c>
      <c r="AC456" s="98">
        <v>20</v>
      </c>
      <c r="AD456" s="98">
        <v>20</v>
      </c>
      <c r="AE456" s="98">
        <v>25</v>
      </c>
      <c r="AF456" s="98">
        <v>22</v>
      </c>
      <c r="AG456" s="98">
        <v>20</v>
      </c>
    </row>
    <row r="457" spans="1:33" x14ac:dyDescent="0.3">
      <c r="A457" s="7">
        <v>452</v>
      </c>
      <c r="B457" s="7" t="s">
        <v>796</v>
      </c>
      <c r="C457" s="7" t="s">
        <v>262</v>
      </c>
      <c r="D457" s="8">
        <f>'CDC Source Data'!D354</f>
        <v>172069</v>
      </c>
      <c r="E457" s="8">
        <f>'CDC Source Data'!E354</f>
        <v>22</v>
      </c>
      <c r="F457" s="31">
        <f t="shared" si="7"/>
        <v>12.816815662148738</v>
      </c>
      <c r="G457" s="9">
        <f>'CDC Source Data'!F354</f>
        <v>0</v>
      </c>
      <c r="H457" s="7">
        <f>'CDC Source Data'!G354</f>
        <v>0</v>
      </c>
      <c r="I457" s="97">
        <v>15.4</v>
      </c>
      <c r="J457" s="97">
        <v>16.100000000000001</v>
      </c>
      <c r="K457" s="98">
        <v>30</v>
      </c>
      <c r="L457" s="98">
        <v>27</v>
      </c>
      <c r="M457" s="98">
        <v>26</v>
      </c>
      <c r="N457" s="98">
        <v>20</v>
      </c>
      <c r="O457" s="98">
        <v>20</v>
      </c>
      <c r="P457" s="98">
        <v>22</v>
      </c>
      <c r="Q457" s="98">
        <v>27</v>
      </c>
      <c r="R457" s="98">
        <v>24</v>
      </c>
      <c r="S457" s="98">
        <v>28</v>
      </c>
      <c r="T457" s="98">
        <v>29</v>
      </c>
      <c r="U457" s="98">
        <v>23</v>
      </c>
      <c r="V457" s="98">
        <v>24</v>
      </c>
      <c r="W457" s="98">
        <v>21</v>
      </c>
      <c r="X457" s="98">
        <v>23</v>
      </c>
      <c r="Y457" s="98">
        <v>26</v>
      </c>
      <c r="Z457" s="98">
        <v>31</v>
      </c>
      <c r="AA457" s="98">
        <v>30</v>
      </c>
      <c r="AB457" s="98">
        <v>27</v>
      </c>
      <c r="AC457" s="98">
        <v>32</v>
      </c>
      <c r="AD457" s="98">
        <v>31</v>
      </c>
      <c r="AE457" s="98">
        <v>30</v>
      </c>
      <c r="AF457" s="98">
        <v>31</v>
      </c>
      <c r="AG457" s="98">
        <v>22</v>
      </c>
    </row>
    <row r="458" spans="1:33" x14ac:dyDescent="0.3">
      <c r="A458" s="7">
        <v>453</v>
      </c>
      <c r="B458" s="7" t="s">
        <v>797</v>
      </c>
      <c r="C458" s="7" t="s">
        <v>262</v>
      </c>
      <c r="D458" s="8">
        <f>'CDC Source Data'!D96</f>
        <v>212374</v>
      </c>
      <c r="E458" s="8">
        <f>'CDC Source Data'!E96</f>
        <v>27</v>
      </c>
      <c r="F458" s="31">
        <f t="shared" si="7"/>
        <v>12.785568580046377</v>
      </c>
      <c r="G458" s="9">
        <f>'CDC Source Data'!F96</f>
        <v>7.0000000000000007E-2</v>
      </c>
      <c r="H458" s="7" t="str">
        <f>'CDC Source Data'!G96</f>
        <v>Completeness of provisional 2019 data under 90% after 6 months.</v>
      </c>
      <c r="I458" s="97">
        <v>16.399999999999999</v>
      </c>
      <c r="J458" s="97">
        <v>17.100000000000001</v>
      </c>
      <c r="K458" s="98">
        <v>47</v>
      </c>
      <c r="L458" s="98">
        <v>49</v>
      </c>
      <c r="M458" s="98">
        <v>49</v>
      </c>
      <c r="N458" s="98">
        <v>49</v>
      </c>
      <c r="O458" s="98">
        <v>53</v>
      </c>
      <c r="P458" s="98">
        <v>51</v>
      </c>
      <c r="Q458" s="98">
        <v>51</v>
      </c>
      <c r="R458" s="98">
        <v>56</v>
      </c>
      <c r="S458" s="98">
        <v>62</v>
      </c>
      <c r="T458" s="98">
        <v>61</v>
      </c>
      <c r="U458" s="98">
        <v>64</v>
      </c>
      <c r="V458" s="98">
        <v>60</v>
      </c>
      <c r="W458" s="98">
        <v>60</v>
      </c>
      <c r="X458" s="98">
        <v>58</v>
      </c>
      <c r="Y458" s="98">
        <v>50</v>
      </c>
      <c r="Z458" s="98">
        <v>48</v>
      </c>
      <c r="AA458" s="98">
        <v>37</v>
      </c>
      <c r="AB458" s="98">
        <v>33</v>
      </c>
      <c r="AC458" s="98">
        <v>32</v>
      </c>
      <c r="AD458" s="98">
        <v>27</v>
      </c>
      <c r="AE458" s="98">
        <v>27</v>
      </c>
      <c r="AF458" s="98">
        <v>29</v>
      </c>
      <c r="AG458" s="98">
        <v>27</v>
      </c>
    </row>
    <row r="459" spans="1:33" x14ac:dyDescent="0.3">
      <c r="A459" s="7">
        <v>454</v>
      </c>
      <c r="B459" s="7" t="s">
        <v>798</v>
      </c>
      <c r="C459" s="7" t="s">
        <v>463</v>
      </c>
      <c r="D459" s="8">
        <f>'CDC Source Data'!D387</f>
        <v>126084</v>
      </c>
      <c r="E459" s="8">
        <f>'CDC Source Data'!E387</f>
        <v>16</v>
      </c>
      <c r="F459" s="31">
        <f t="shared" si="7"/>
        <v>12.713420663546385</v>
      </c>
      <c r="G459" s="9">
        <f>'CDC Source Data'!F387</f>
        <v>0.2</v>
      </c>
      <c r="H459" s="7">
        <f>'CDC Source Data'!G387</f>
        <v>0</v>
      </c>
      <c r="I459" s="97">
        <v>20</v>
      </c>
      <c r="J459" s="97">
        <v>20.9</v>
      </c>
      <c r="K459" s="98">
        <v>13</v>
      </c>
      <c r="L459" s="98">
        <v>21</v>
      </c>
      <c r="M459" s="98">
        <v>22</v>
      </c>
      <c r="N459" s="98">
        <v>26</v>
      </c>
      <c r="O459" s="98">
        <v>28</v>
      </c>
      <c r="P459" s="98">
        <v>24</v>
      </c>
      <c r="Q459" s="98">
        <v>25</v>
      </c>
      <c r="R459" s="98">
        <v>30</v>
      </c>
      <c r="S459" s="98">
        <v>40</v>
      </c>
      <c r="T459" s="98">
        <v>43</v>
      </c>
      <c r="U459" s="98">
        <v>50</v>
      </c>
      <c r="V459" s="98">
        <v>42</v>
      </c>
      <c r="W459" s="98">
        <v>36</v>
      </c>
      <c r="X459" s="98">
        <v>35</v>
      </c>
      <c r="Y459" s="98">
        <v>28</v>
      </c>
      <c r="Z459" s="98">
        <v>34</v>
      </c>
      <c r="AA459" s="98">
        <v>33</v>
      </c>
      <c r="AB459" s="98">
        <v>34</v>
      </c>
      <c r="AC459" s="98">
        <v>32</v>
      </c>
      <c r="AD459" s="98">
        <v>23</v>
      </c>
      <c r="AE459" s="98">
        <v>19</v>
      </c>
      <c r="AF459" s="98">
        <v>16</v>
      </c>
      <c r="AG459" s="98">
        <v>16</v>
      </c>
    </row>
    <row r="460" spans="1:33" x14ac:dyDescent="0.3">
      <c r="A460" s="7">
        <v>455</v>
      </c>
      <c r="B460" s="7" t="s">
        <v>799</v>
      </c>
      <c r="C460" s="7" t="s">
        <v>469</v>
      </c>
      <c r="D460" s="8">
        <f>'CDC Source Data'!D100</f>
        <v>307336</v>
      </c>
      <c r="E460" s="8">
        <f>'CDC Source Data'!E100</f>
        <v>39</v>
      </c>
      <c r="F460" s="31">
        <f t="shared" si="7"/>
        <v>12.689952729926082</v>
      </c>
      <c r="G460" s="9">
        <f>'CDC Source Data'!F100</f>
        <v>0.61</v>
      </c>
      <c r="H460" s="7">
        <f>'CDC Source Data'!G100</f>
        <v>0</v>
      </c>
      <c r="I460" s="97">
        <v>14.6</v>
      </c>
      <c r="J460" s="97">
        <v>15.2</v>
      </c>
      <c r="K460" s="98">
        <v>42</v>
      </c>
      <c r="L460" s="98">
        <v>50</v>
      </c>
      <c r="M460" s="98">
        <v>61</v>
      </c>
      <c r="N460" s="98">
        <v>69</v>
      </c>
      <c r="O460" s="98">
        <v>77</v>
      </c>
      <c r="P460" s="98">
        <v>75</v>
      </c>
      <c r="Q460" s="98">
        <v>74</v>
      </c>
      <c r="R460" s="98">
        <v>74</v>
      </c>
      <c r="S460" s="98">
        <v>76</v>
      </c>
      <c r="T460" s="98">
        <v>79</v>
      </c>
      <c r="U460" s="98">
        <v>84</v>
      </c>
      <c r="V460" s="98">
        <v>90</v>
      </c>
      <c r="W460" s="98">
        <v>87</v>
      </c>
      <c r="X460" s="98">
        <v>94</v>
      </c>
      <c r="Y460" s="98">
        <v>95</v>
      </c>
      <c r="Z460" s="98">
        <v>94</v>
      </c>
      <c r="AA460" s="98">
        <v>91</v>
      </c>
      <c r="AB460" s="98">
        <v>91</v>
      </c>
      <c r="AC460" s="98">
        <v>81</v>
      </c>
      <c r="AD460" s="98">
        <v>68</v>
      </c>
      <c r="AE460" s="98">
        <v>58</v>
      </c>
      <c r="AF460" s="98">
        <v>42</v>
      </c>
      <c r="AG460" s="98">
        <v>39</v>
      </c>
    </row>
    <row r="461" spans="1:33" x14ac:dyDescent="0.3">
      <c r="A461" s="7">
        <v>456</v>
      </c>
      <c r="B461" s="7" t="s">
        <v>800</v>
      </c>
      <c r="C461" s="7" t="s">
        <v>469</v>
      </c>
      <c r="D461" s="8">
        <f>'CDC Source Data'!D249</f>
        <v>174897</v>
      </c>
      <c r="E461" s="8">
        <f>'CDC Source Data'!E249</f>
        <v>22</v>
      </c>
      <c r="F461" s="31">
        <f t="shared" si="7"/>
        <v>12.689694666423719</v>
      </c>
      <c r="G461" s="9">
        <f>'CDC Source Data'!F249</f>
        <v>0.2</v>
      </c>
      <c r="H461" s="7">
        <f>'CDC Source Data'!G249</f>
        <v>0</v>
      </c>
      <c r="I461" s="97">
        <v>11.9</v>
      </c>
      <c r="J461" s="97">
        <v>12.5</v>
      </c>
      <c r="K461" s="98">
        <v>21</v>
      </c>
      <c r="L461" s="98">
        <v>21</v>
      </c>
      <c r="M461" s="98">
        <v>18</v>
      </c>
      <c r="N461" s="98">
        <v>19</v>
      </c>
      <c r="O461" s="98">
        <v>17</v>
      </c>
      <c r="P461" s="98">
        <v>25</v>
      </c>
      <c r="Q461" s="98">
        <v>27</v>
      </c>
      <c r="R461" s="98">
        <v>29</v>
      </c>
      <c r="S461" s="98">
        <v>32</v>
      </c>
      <c r="T461" s="98">
        <v>35</v>
      </c>
      <c r="U461" s="98">
        <v>39</v>
      </c>
      <c r="V461" s="98">
        <v>42</v>
      </c>
      <c r="W461" s="98">
        <v>49</v>
      </c>
      <c r="X461" s="98">
        <v>46</v>
      </c>
      <c r="Y461" s="98">
        <v>52</v>
      </c>
      <c r="Z461" s="98">
        <v>52</v>
      </c>
      <c r="AA461" s="98">
        <v>42</v>
      </c>
      <c r="AB461" s="98">
        <v>40</v>
      </c>
      <c r="AC461" s="98">
        <v>31</v>
      </c>
      <c r="AD461" s="98">
        <v>27</v>
      </c>
      <c r="AE461" s="98">
        <v>32</v>
      </c>
      <c r="AF461" s="98">
        <v>23</v>
      </c>
      <c r="AG461" s="98">
        <v>22</v>
      </c>
    </row>
    <row r="462" spans="1:33" x14ac:dyDescent="0.3">
      <c r="A462" s="7">
        <v>457</v>
      </c>
      <c r="B462" s="7" t="s">
        <v>801</v>
      </c>
      <c r="C462" s="7" t="s">
        <v>604</v>
      </c>
      <c r="D462" s="8">
        <f>'CDC Source Data'!D328</f>
        <v>327394</v>
      </c>
      <c r="E462" s="8">
        <f>'CDC Source Data'!E328</f>
        <v>41</v>
      </c>
      <c r="F462" s="31">
        <f t="shared" si="7"/>
        <v>12.578832112614853</v>
      </c>
      <c r="G462" s="9">
        <f>'CDC Source Data'!F328</f>
        <v>0.03</v>
      </c>
      <c r="H462" s="7" t="str">
        <f>'CDC Source Data'!G328</f>
        <v>Completeness of provisional 2019 data under 90% after 6 months.</v>
      </c>
      <c r="I462" s="97">
        <v>13.2</v>
      </c>
      <c r="J462" s="97">
        <v>13.7</v>
      </c>
      <c r="K462" s="98">
        <v>43</v>
      </c>
      <c r="L462" s="98">
        <v>37</v>
      </c>
      <c r="M462" s="98">
        <v>39</v>
      </c>
      <c r="N462" s="98">
        <v>35</v>
      </c>
      <c r="O462" s="98">
        <v>36</v>
      </c>
      <c r="P462" s="98">
        <v>41</v>
      </c>
      <c r="Q462" s="98">
        <v>44</v>
      </c>
      <c r="R462" s="98">
        <v>46</v>
      </c>
      <c r="S462" s="98">
        <v>56</v>
      </c>
      <c r="T462" s="98">
        <v>46</v>
      </c>
      <c r="U462" s="98">
        <v>48</v>
      </c>
      <c r="V462" s="98">
        <v>50</v>
      </c>
      <c r="W462" s="98">
        <v>50</v>
      </c>
      <c r="X462" s="98">
        <v>53</v>
      </c>
      <c r="Y462" s="98">
        <v>54</v>
      </c>
      <c r="Z462" s="98">
        <v>53</v>
      </c>
      <c r="AA462" s="98">
        <v>42</v>
      </c>
      <c r="AB462" s="98">
        <v>49</v>
      </c>
      <c r="AC462" s="98">
        <v>48</v>
      </c>
      <c r="AD462" s="98">
        <v>46</v>
      </c>
      <c r="AE462" s="98">
        <v>50</v>
      </c>
      <c r="AF462" s="98">
        <v>38</v>
      </c>
      <c r="AG462" s="98">
        <v>41</v>
      </c>
    </row>
    <row r="463" spans="1:33" x14ac:dyDescent="0.3">
      <c r="A463" s="7">
        <v>458</v>
      </c>
      <c r="B463" s="7" t="s">
        <v>802</v>
      </c>
      <c r="C463" s="7" t="s">
        <v>447</v>
      </c>
      <c r="D463" s="8">
        <f>'CDC Source Data'!D363</f>
        <v>111950</v>
      </c>
      <c r="E463" s="8">
        <f>'CDC Source Data'!E363</f>
        <v>14</v>
      </c>
      <c r="F463" s="31">
        <f t="shared" si="7"/>
        <v>12.523137259693213</v>
      </c>
      <c r="G463" s="9">
        <f>'CDC Source Data'!F363</f>
        <v>0.08</v>
      </c>
      <c r="H463" s="7">
        <f>'CDC Source Data'!G363</f>
        <v>0</v>
      </c>
      <c r="I463" s="97">
        <v>25</v>
      </c>
      <c r="J463" s="97">
        <v>26.1</v>
      </c>
      <c r="K463" s="98">
        <v>33</v>
      </c>
      <c r="L463" s="98">
        <v>32</v>
      </c>
      <c r="M463" s="98">
        <v>33</v>
      </c>
      <c r="N463" s="98">
        <v>38</v>
      </c>
      <c r="O463" s="98">
        <v>32</v>
      </c>
      <c r="P463" s="98">
        <v>28</v>
      </c>
      <c r="Q463" s="98">
        <v>28</v>
      </c>
      <c r="R463" s="98">
        <v>23</v>
      </c>
      <c r="S463" s="98">
        <v>22</v>
      </c>
      <c r="T463" s="98">
        <v>22</v>
      </c>
      <c r="U463" s="98">
        <v>28</v>
      </c>
      <c r="V463" s="98">
        <v>24</v>
      </c>
      <c r="W463" s="98">
        <v>23</v>
      </c>
      <c r="X463" s="98">
        <v>24</v>
      </c>
      <c r="Y463" s="98">
        <v>23</v>
      </c>
      <c r="Z463" s="98">
        <v>25</v>
      </c>
      <c r="AA463" s="98">
        <v>25</v>
      </c>
      <c r="AB463" s="98">
        <v>22</v>
      </c>
      <c r="AC463" s="98">
        <v>18</v>
      </c>
      <c r="AD463" s="98">
        <v>17</v>
      </c>
      <c r="AE463" s="98">
        <v>16</v>
      </c>
      <c r="AF463" s="98">
        <v>14</v>
      </c>
      <c r="AG463" s="98">
        <v>14</v>
      </c>
    </row>
    <row r="464" spans="1:33" x14ac:dyDescent="0.3">
      <c r="A464" s="7">
        <v>459</v>
      </c>
      <c r="B464" s="7" t="s">
        <v>803</v>
      </c>
      <c r="C464" s="7" t="s">
        <v>604</v>
      </c>
      <c r="D464" s="8">
        <f>'CDC Source Data'!D126</f>
        <v>201628</v>
      </c>
      <c r="E464" s="8">
        <f>'CDC Source Data'!E126</f>
        <v>25</v>
      </c>
      <c r="F464" s="31">
        <f t="shared" si="7"/>
        <v>12.505582849486379</v>
      </c>
      <c r="G464" s="9">
        <f>'CDC Source Data'!F126</f>
        <v>0</v>
      </c>
      <c r="H464" s="7" t="str">
        <f>'CDC Source Data'!G126</f>
        <v>Completeness of provisional 2019 data under 90% after 6 months.</v>
      </c>
      <c r="I464" s="97">
        <v>12.3</v>
      </c>
      <c r="J464" s="97">
        <v>12.9</v>
      </c>
      <c r="K464" s="98">
        <v>18</v>
      </c>
      <c r="L464" s="98">
        <v>18</v>
      </c>
      <c r="M464" s="98">
        <v>21</v>
      </c>
      <c r="N464" s="98">
        <v>20</v>
      </c>
      <c r="O464" s="98">
        <v>19</v>
      </c>
      <c r="P464" s="98">
        <v>17</v>
      </c>
      <c r="Q464" s="98">
        <v>10</v>
      </c>
      <c r="R464" s="100"/>
      <c r="S464" s="98">
        <v>11</v>
      </c>
      <c r="T464" s="98">
        <v>21</v>
      </c>
      <c r="U464" s="98">
        <v>24</v>
      </c>
      <c r="V464" s="98">
        <v>24</v>
      </c>
      <c r="W464" s="98">
        <v>20</v>
      </c>
      <c r="X464" s="98">
        <v>16</v>
      </c>
      <c r="Y464" s="98">
        <v>17</v>
      </c>
      <c r="Z464" s="98">
        <v>21</v>
      </c>
      <c r="AA464" s="98">
        <v>23</v>
      </c>
      <c r="AB464" s="98">
        <v>27</v>
      </c>
      <c r="AC464" s="98">
        <v>28</v>
      </c>
      <c r="AD464" s="98">
        <v>26</v>
      </c>
      <c r="AE464" s="98">
        <v>27</v>
      </c>
      <c r="AF464" s="98">
        <v>26</v>
      </c>
      <c r="AG464" s="98">
        <v>25</v>
      </c>
    </row>
    <row r="465" spans="1:33" x14ac:dyDescent="0.3">
      <c r="A465" s="7">
        <v>460</v>
      </c>
      <c r="B465" s="7" t="s">
        <v>804</v>
      </c>
      <c r="C465" s="7" t="s">
        <v>469</v>
      </c>
      <c r="D465" s="8">
        <f>'CDC Source Data'!D604</f>
        <v>105070</v>
      </c>
      <c r="E465" s="8">
        <f>'CDC Source Data'!E604</f>
        <v>13</v>
      </c>
      <c r="F465" s="31">
        <f t="shared" si="7"/>
        <v>12.399071557521772</v>
      </c>
      <c r="G465" s="9">
        <f>'CDC Source Data'!F604</f>
        <v>0.22</v>
      </c>
      <c r="H465" s="7" t="str">
        <f>'CDC Source Data'!G604</f>
        <v>Completeness of provisional 2019 data under 90% after 6 months.</v>
      </c>
      <c r="I465" s="97">
        <v>18.100000000000001</v>
      </c>
      <c r="J465" s="97">
        <v>18.899999999999999</v>
      </c>
      <c r="K465" s="98">
        <v>16</v>
      </c>
      <c r="L465" s="98">
        <v>18</v>
      </c>
      <c r="M465" s="98">
        <v>20</v>
      </c>
      <c r="N465" s="98">
        <v>17</v>
      </c>
      <c r="O465" s="98">
        <v>19</v>
      </c>
      <c r="P465" s="98">
        <v>22</v>
      </c>
      <c r="Q465" s="98">
        <v>24</v>
      </c>
      <c r="R465" s="98">
        <v>25</v>
      </c>
      <c r="S465" s="98">
        <v>25</v>
      </c>
      <c r="T465" s="98">
        <v>24</v>
      </c>
      <c r="U465" s="98">
        <v>19</v>
      </c>
      <c r="V465" s="98">
        <v>17</v>
      </c>
      <c r="W465" s="98">
        <v>14</v>
      </c>
      <c r="X465" s="98">
        <v>14</v>
      </c>
      <c r="Y465" s="98">
        <v>17</v>
      </c>
      <c r="Z465" s="98">
        <v>17</v>
      </c>
      <c r="AA465" s="98">
        <v>18</v>
      </c>
      <c r="AB465" s="98">
        <v>19</v>
      </c>
      <c r="AC465" s="98">
        <v>19</v>
      </c>
      <c r="AD465" s="98">
        <v>15</v>
      </c>
      <c r="AE465" s="98">
        <v>17</v>
      </c>
      <c r="AF465" s="98">
        <v>14</v>
      </c>
      <c r="AG465" s="98">
        <v>13</v>
      </c>
    </row>
    <row r="466" spans="1:33" x14ac:dyDescent="0.3">
      <c r="A466" s="7">
        <v>461</v>
      </c>
      <c r="B466" s="7" t="s">
        <v>805</v>
      </c>
      <c r="C466" s="7" t="s">
        <v>50</v>
      </c>
      <c r="D466" s="8">
        <f>'CDC Source Data'!D506</f>
        <v>494605</v>
      </c>
      <c r="E466" s="8">
        <f>'CDC Source Data'!E506</f>
        <v>61</v>
      </c>
      <c r="F466" s="31">
        <f t="shared" si="7"/>
        <v>12.372703911677927</v>
      </c>
      <c r="G466" s="9">
        <f>'CDC Source Data'!F506</f>
        <v>0</v>
      </c>
      <c r="H466" s="7">
        <f>'CDC Source Data'!G506</f>
        <v>0</v>
      </c>
      <c r="I466" s="97">
        <v>20.9</v>
      </c>
      <c r="J466" s="97">
        <v>21.8</v>
      </c>
      <c r="K466" s="98">
        <v>93</v>
      </c>
      <c r="L466" s="98">
        <v>102</v>
      </c>
      <c r="M466" s="98">
        <v>127</v>
      </c>
      <c r="N466" s="98">
        <v>137</v>
      </c>
      <c r="O466" s="98">
        <v>137</v>
      </c>
      <c r="P466" s="98">
        <v>163</v>
      </c>
      <c r="Q466" s="98">
        <v>155</v>
      </c>
      <c r="R466" s="98">
        <v>156</v>
      </c>
      <c r="S466" s="98">
        <v>153</v>
      </c>
      <c r="T466" s="98">
        <v>134</v>
      </c>
      <c r="U466" s="98">
        <v>133</v>
      </c>
      <c r="V466" s="98">
        <v>138</v>
      </c>
      <c r="W466" s="98">
        <v>126</v>
      </c>
      <c r="X466" s="98">
        <v>124</v>
      </c>
      <c r="Y466" s="98">
        <v>122</v>
      </c>
      <c r="Z466" s="98">
        <v>120</v>
      </c>
      <c r="AA466" s="98">
        <v>127</v>
      </c>
      <c r="AB466" s="98">
        <v>110</v>
      </c>
      <c r="AC466" s="98">
        <v>94</v>
      </c>
      <c r="AD466" s="98">
        <v>73</v>
      </c>
      <c r="AE466" s="98">
        <v>59</v>
      </c>
      <c r="AF466" s="98">
        <v>62</v>
      </c>
      <c r="AG466" s="98">
        <v>61</v>
      </c>
    </row>
    <row r="467" spans="1:33" x14ac:dyDescent="0.3">
      <c r="A467" s="7">
        <v>462</v>
      </c>
      <c r="B467" s="7" t="s">
        <v>806</v>
      </c>
      <c r="C467" s="7" t="s">
        <v>453</v>
      </c>
      <c r="D467" s="8">
        <f>'CDC Source Data'!D366</f>
        <v>1668956</v>
      </c>
      <c r="E467" s="8">
        <f>'CDC Source Data'!E366</f>
        <v>205</v>
      </c>
      <c r="F467" s="31">
        <f t="shared" si="7"/>
        <v>12.333073867025202</v>
      </c>
      <c r="G467" s="9">
        <f>'CDC Source Data'!F366</f>
        <v>0.1</v>
      </c>
      <c r="H467" s="7">
        <f>'CDC Source Data'!G366</f>
        <v>0</v>
      </c>
      <c r="I467" s="97">
        <v>19.8</v>
      </c>
      <c r="J467" s="97">
        <v>20.7</v>
      </c>
      <c r="K467" s="98">
        <v>346</v>
      </c>
      <c r="L467" s="98">
        <v>346</v>
      </c>
      <c r="M467" s="98">
        <v>331</v>
      </c>
      <c r="N467" s="98">
        <v>339</v>
      </c>
      <c r="O467" s="98">
        <v>369</v>
      </c>
      <c r="P467" s="98">
        <v>374</v>
      </c>
      <c r="Q467" s="98">
        <v>397</v>
      </c>
      <c r="R467" s="98">
        <v>409</v>
      </c>
      <c r="S467" s="98">
        <v>404</v>
      </c>
      <c r="T467" s="98">
        <v>425</v>
      </c>
      <c r="U467" s="98">
        <v>426</v>
      </c>
      <c r="V467" s="98">
        <v>430</v>
      </c>
      <c r="W467" s="98">
        <v>405</v>
      </c>
      <c r="X467" s="98">
        <v>384</v>
      </c>
      <c r="Y467" s="98">
        <v>370</v>
      </c>
      <c r="Z467" s="98">
        <v>353</v>
      </c>
      <c r="AA467" s="98">
        <v>332</v>
      </c>
      <c r="AB467" s="98">
        <v>312</v>
      </c>
      <c r="AC467" s="98">
        <v>276</v>
      </c>
      <c r="AD467" s="98">
        <v>242</v>
      </c>
      <c r="AE467" s="98">
        <v>231</v>
      </c>
      <c r="AF467" s="98">
        <v>208</v>
      </c>
      <c r="AG467" s="98">
        <v>205</v>
      </c>
    </row>
    <row r="468" spans="1:33" x14ac:dyDescent="0.3">
      <c r="A468" s="7">
        <v>463</v>
      </c>
      <c r="B468" s="7" t="s">
        <v>807</v>
      </c>
      <c r="C468" s="7" t="s">
        <v>38</v>
      </c>
      <c r="D468" s="8">
        <f>'CDC Source Data'!D342</f>
        <v>139091</v>
      </c>
      <c r="E468" s="8">
        <f>'CDC Source Data'!E342</f>
        <v>17</v>
      </c>
      <c r="F468" s="31">
        <f t="shared" si="7"/>
        <v>12.283127895522711</v>
      </c>
      <c r="G468" s="9">
        <f>'CDC Source Data'!F342</f>
        <v>7.0000000000000007E-2</v>
      </c>
      <c r="H468" s="7">
        <f>'CDC Source Data'!G342</f>
        <v>0</v>
      </c>
      <c r="I468" s="97">
        <v>9.6</v>
      </c>
      <c r="J468" s="97">
        <v>10.1</v>
      </c>
      <c r="K468" s="98">
        <v>14</v>
      </c>
      <c r="L468" s="98">
        <v>12</v>
      </c>
      <c r="M468" s="98">
        <v>12</v>
      </c>
      <c r="N468" s="98">
        <v>14</v>
      </c>
      <c r="O468" s="98">
        <v>14</v>
      </c>
      <c r="P468" s="98">
        <v>20</v>
      </c>
      <c r="Q468" s="98">
        <v>22</v>
      </c>
      <c r="R468" s="98">
        <v>21</v>
      </c>
      <c r="S468" s="98">
        <v>25</v>
      </c>
      <c r="T468" s="98">
        <v>27</v>
      </c>
      <c r="U468" s="98">
        <v>27</v>
      </c>
      <c r="V468" s="98">
        <v>31</v>
      </c>
      <c r="W468" s="98">
        <v>30</v>
      </c>
      <c r="X468" s="98">
        <v>25</v>
      </c>
      <c r="Y468" s="98">
        <v>22</v>
      </c>
      <c r="Z468" s="98">
        <v>16</v>
      </c>
      <c r="AA468" s="98">
        <v>17</v>
      </c>
      <c r="AB468" s="98">
        <v>19</v>
      </c>
      <c r="AC468" s="98">
        <v>16</v>
      </c>
      <c r="AD468" s="98">
        <v>16</v>
      </c>
      <c r="AE468" s="98">
        <v>16</v>
      </c>
      <c r="AF468" s="98">
        <v>12</v>
      </c>
      <c r="AG468" s="98">
        <v>17</v>
      </c>
    </row>
    <row r="469" spans="1:33" x14ac:dyDescent="0.3">
      <c r="A469" s="7">
        <v>464</v>
      </c>
      <c r="B469" s="7" t="s">
        <v>808</v>
      </c>
      <c r="C469" s="7" t="s">
        <v>604</v>
      </c>
      <c r="D469" s="8">
        <f>'CDC Source Data'!D450</f>
        <v>114649</v>
      </c>
      <c r="E469" s="8">
        <f>'CDC Source Data'!E450</f>
        <v>14</v>
      </c>
      <c r="F469" s="31">
        <f t="shared" si="7"/>
        <v>12.222214233846907</v>
      </c>
      <c r="G469" s="9">
        <f>'CDC Source Data'!F450</f>
        <v>0</v>
      </c>
      <c r="H469" s="7">
        <f>'CDC Source Data'!G450</f>
        <v>0</v>
      </c>
      <c r="I469" s="97">
        <v>17.100000000000001</v>
      </c>
      <c r="J469" s="97">
        <v>17.8</v>
      </c>
      <c r="K469" s="98">
        <v>27</v>
      </c>
      <c r="L469" s="98">
        <v>28</v>
      </c>
      <c r="M469" s="98">
        <v>27</v>
      </c>
      <c r="N469" s="98">
        <v>27</v>
      </c>
      <c r="O469" s="98">
        <v>26</v>
      </c>
      <c r="P469" s="98">
        <v>22</v>
      </c>
      <c r="Q469" s="98">
        <v>21</v>
      </c>
      <c r="R469" s="98">
        <v>24</v>
      </c>
      <c r="S469" s="98">
        <v>21</v>
      </c>
      <c r="T469" s="98">
        <v>29</v>
      </c>
      <c r="U469" s="98">
        <v>29</v>
      </c>
      <c r="V469" s="98">
        <v>25</v>
      </c>
      <c r="W469" s="98">
        <v>26</v>
      </c>
      <c r="X469" s="98">
        <v>20</v>
      </c>
      <c r="Y469" s="98">
        <v>25</v>
      </c>
      <c r="Z469" s="98">
        <v>25</v>
      </c>
      <c r="AA469" s="98">
        <v>25</v>
      </c>
      <c r="AB469" s="98">
        <v>23</v>
      </c>
      <c r="AC469" s="98">
        <v>16</v>
      </c>
      <c r="AD469" s="98">
        <v>17</v>
      </c>
      <c r="AE469" s="98">
        <v>15</v>
      </c>
      <c r="AF469" s="98">
        <v>14</v>
      </c>
      <c r="AG469" s="98">
        <v>14</v>
      </c>
    </row>
    <row r="470" spans="1:33" x14ac:dyDescent="0.3">
      <c r="A470" s="7">
        <v>465</v>
      </c>
      <c r="B470" s="7" t="s">
        <v>809</v>
      </c>
      <c r="C470" s="7" t="s">
        <v>588</v>
      </c>
      <c r="D470" s="8">
        <f>'CDC Source Data'!D481</f>
        <v>131252</v>
      </c>
      <c r="E470" s="8">
        <f>'CDC Source Data'!E481</f>
        <v>16</v>
      </c>
      <c r="F470" s="31">
        <f t="shared" si="7"/>
        <v>12.211183699814216</v>
      </c>
      <c r="G470" s="9">
        <f>'CDC Source Data'!F481</f>
        <v>7.0000000000000007E-2</v>
      </c>
      <c r="H470" s="7">
        <f>'CDC Source Data'!G481</f>
        <v>0</v>
      </c>
      <c r="I470" s="97">
        <v>20.399999999999999</v>
      </c>
      <c r="J470" s="97">
        <v>21.3</v>
      </c>
      <c r="K470" s="98">
        <v>29</v>
      </c>
      <c r="L470" s="98">
        <v>32</v>
      </c>
      <c r="M470" s="98">
        <v>31</v>
      </c>
      <c r="N470" s="98">
        <v>28</v>
      </c>
      <c r="O470" s="98">
        <v>34</v>
      </c>
      <c r="P470" s="98">
        <v>38</v>
      </c>
      <c r="Q470" s="98">
        <v>39</v>
      </c>
      <c r="R470" s="98">
        <v>41</v>
      </c>
      <c r="S470" s="98">
        <v>37</v>
      </c>
      <c r="T470" s="98">
        <v>31</v>
      </c>
      <c r="U470" s="98">
        <v>24</v>
      </c>
      <c r="V470" s="98">
        <v>24</v>
      </c>
      <c r="W470" s="98">
        <v>21</v>
      </c>
      <c r="X470" s="98">
        <v>25</v>
      </c>
      <c r="Y470" s="98">
        <v>29</v>
      </c>
      <c r="Z470" s="98">
        <v>30</v>
      </c>
      <c r="AA470" s="98">
        <v>28</v>
      </c>
      <c r="AB470" s="98">
        <v>17</v>
      </c>
      <c r="AC470" s="98">
        <v>15</v>
      </c>
      <c r="AD470" s="98">
        <v>10</v>
      </c>
      <c r="AE470" s="98">
        <v>11</v>
      </c>
      <c r="AF470" s="98">
        <v>17</v>
      </c>
      <c r="AG470" s="98">
        <v>16</v>
      </c>
    </row>
    <row r="471" spans="1:33" x14ac:dyDescent="0.3">
      <c r="A471" s="7">
        <v>466</v>
      </c>
      <c r="B471" s="7" t="s">
        <v>810</v>
      </c>
      <c r="C471" s="7" t="s">
        <v>447</v>
      </c>
      <c r="D471" s="8">
        <f>'CDC Source Data'!D117</f>
        <v>214123</v>
      </c>
      <c r="E471" s="8">
        <f>'CDC Source Data'!E117</f>
        <v>26</v>
      </c>
      <c r="F471" s="31">
        <f t="shared" si="7"/>
        <v>12.190290433669581</v>
      </c>
      <c r="G471" s="9">
        <f>'CDC Source Data'!F117</f>
        <v>0</v>
      </c>
      <c r="H471" s="7">
        <f>'CDC Source Data'!G117</f>
        <v>0</v>
      </c>
      <c r="I471" s="97">
        <v>40</v>
      </c>
      <c r="J471" s="97">
        <v>41.7</v>
      </c>
      <c r="K471" s="98">
        <v>79</v>
      </c>
      <c r="L471" s="98">
        <v>72</v>
      </c>
      <c r="M471" s="98">
        <v>69</v>
      </c>
      <c r="N471" s="98">
        <v>79</v>
      </c>
      <c r="O471" s="98">
        <v>86</v>
      </c>
      <c r="P471" s="98">
        <v>94</v>
      </c>
      <c r="Q471" s="98">
        <v>102</v>
      </c>
      <c r="R471" s="98">
        <v>91</v>
      </c>
      <c r="S471" s="98">
        <v>91</v>
      </c>
      <c r="T471" s="98">
        <v>84</v>
      </c>
      <c r="U471" s="98">
        <v>71</v>
      </c>
      <c r="V471" s="98">
        <v>75</v>
      </c>
      <c r="W471" s="98">
        <v>72</v>
      </c>
      <c r="X471" s="98">
        <v>70</v>
      </c>
      <c r="Y471" s="98">
        <v>67</v>
      </c>
      <c r="Z471" s="98">
        <v>61</v>
      </c>
      <c r="AA471" s="98">
        <v>53</v>
      </c>
      <c r="AB471" s="98">
        <v>47</v>
      </c>
      <c r="AC471" s="98">
        <v>46</v>
      </c>
      <c r="AD471" s="98">
        <v>41</v>
      </c>
      <c r="AE471" s="98">
        <v>38</v>
      </c>
      <c r="AF471" s="98">
        <v>34</v>
      </c>
      <c r="AG471" s="98">
        <v>26</v>
      </c>
    </row>
    <row r="472" spans="1:33" x14ac:dyDescent="0.3">
      <c r="A472" s="7">
        <v>467</v>
      </c>
      <c r="B472" s="7" t="s">
        <v>811</v>
      </c>
      <c r="C472" s="7" t="s">
        <v>604</v>
      </c>
      <c r="D472" s="8">
        <f>'CDC Source Data'!D280</f>
        <v>197829</v>
      </c>
      <c r="E472" s="8">
        <f>'CDC Source Data'!E280</f>
        <v>24</v>
      </c>
      <c r="F472" s="31">
        <f t="shared" si="7"/>
        <v>12.142553579017667</v>
      </c>
      <c r="G472" s="9">
        <f>'CDC Source Data'!F280</f>
        <v>0</v>
      </c>
      <c r="H472" s="7" t="str">
        <f>'CDC Source Data'!G280</f>
        <v>Completeness of provisional 2019 data under 90% after 6 months.</v>
      </c>
      <c r="I472" s="97">
        <v>13.3</v>
      </c>
      <c r="J472" s="97">
        <v>13.9</v>
      </c>
      <c r="K472" s="98">
        <v>24</v>
      </c>
      <c r="L472" s="98">
        <v>23</v>
      </c>
      <c r="M472" s="98">
        <v>17</v>
      </c>
      <c r="N472" s="98">
        <v>14</v>
      </c>
      <c r="O472" s="98">
        <v>13</v>
      </c>
      <c r="P472" s="98">
        <v>17</v>
      </c>
      <c r="Q472" s="98">
        <v>19</v>
      </c>
      <c r="R472" s="98">
        <v>20</v>
      </c>
      <c r="S472" s="98">
        <v>23</v>
      </c>
      <c r="T472" s="98">
        <v>21</v>
      </c>
      <c r="U472" s="98">
        <v>20</v>
      </c>
      <c r="V472" s="98">
        <v>25</v>
      </c>
      <c r="W472" s="98">
        <v>24</v>
      </c>
      <c r="X472" s="98">
        <v>24</v>
      </c>
      <c r="Y472" s="98">
        <v>24</v>
      </c>
      <c r="Z472" s="98">
        <v>23</v>
      </c>
      <c r="AA472" s="98">
        <v>32</v>
      </c>
      <c r="AB472" s="98">
        <v>31</v>
      </c>
      <c r="AC472" s="98">
        <v>35</v>
      </c>
      <c r="AD472" s="98">
        <v>30</v>
      </c>
      <c r="AE472" s="98">
        <v>24</v>
      </c>
      <c r="AF472" s="98">
        <v>27</v>
      </c>
      <c r="AG472" s="98">
        <v>24</v>
      </c>
    </row>
    <row r="473" spans="1:33" x14ac:dyDescent="0.3">
      <c r="A473" s="7">
        <v>468</v>
      </c>
      <c r="B473" s="7" t="s">
        <v>812</v>
      </c>
      <c r="C473" s="7" t="s">
        <v>453</v>
      </c>
      <c r="D473" s="8">
        <f>'CDC Source Data'!D225</f>
        <v>165399</v>
      </c>
      <c r="E473" s="8">
        <f>'CDC Source Data'!E225</f>
        <v>20</v>
      </c>
      <c r="F473" s="31">
        <f t="shared" si="7"/>
        <v>12.131689489407519</v>
      </c>
      <c r="G473" s="9">
        <f>'CDC Source Data'!F225</f>
        <v>7.0000000000000007E-2</v>
      </c>
      <c r="H473" s="7">
        <f>'CDC Source Data'!G225</f>
        <v>0</v>
      </c>
      <c r="I473" s="97">
        <v>20.3</v>
      </c>
      <c r="J473" s="97">
        <v>21.2</v>
      </c>
      <c r="K473" s="98">
        <v>44</v>
      </c>
      <c r="L473" s="98">
        <v>43</v>
      </c>
      <c r="M473" s="98">
        <v>42</v>
      </c>
      <c r="N473" s="98">
        <v>38</v>
      </c>
      <c r="O473" s="98">
        <v>43</v>
      </c>
      <c r="P473" s="98">
        <v>36</v>
      </c>
      <c r="Q473" s="98">
        <v>40</v>
      </c>
      <c r="R473" s="98">
        <v>51</v>
      </c>
      <c r="S473" s="98">
        <v>49</v>
      </c>
      <c r="T473" s="98">
        <v>54</v>
      </c>
      <c r="U473" s="98">
        <v>52</v>
      </c>
      <c r="V473" s="98">
        <v>44</v>
      </c>
      <c r="W473" s="98">
        <v>50</v>
      </c>
      <c r="X473" s="98">
        <v>44</v>
      </c>
      <c r="Y473" s="98">
        <v>40</v>
      </c>
      <c r="Z473" s="98">
        <v>35</v>
      </c>
      <c r="AA473" s="98">
        <v>25</v>
      </c>
      <c r="AB473" s="98">
        <v>28</v>
      </c>
      <c r="AC473" s="98">
        <v>26</v>
      </c>
      <c r="AD473" s="98">
        <v>23</v>
      </c>
      <c r="AE473" s="98">
        <v>24</v>
      </c>
      <c r="AF473" s="98">
        <v>22</v>
      </c>
      <c r="AG473" s="98">
        <v>20</v>
      </c>
    </row>
    <row r="474" spans="1:33" x14ac:dyDescent="0.3">
      <c r="A474" s="7">
        <v>469</v>
      </c>
      <c r="B474" s="7" t="s">
        <v>260</v>
      </c>
      <c r="C474" s="7" t="s">
        <v>463</v>
      </c>
      <c r="D474" s="8">
        <f>'CDC Source Data'!D337</f>
        <v>423355</v>
      </c>
      <c r="E474" s="8">
        <f>'CDC Source Data'!E337</f>
        <v>51</v>
      </c>
      <c r="F474" s="31">
        <f t="shared" si="7"/>
        <v>12.091971535499006</v>
      </c>
      <c r="G474" s="9">
        <f>'CDC Source Data'!F337</f>
        <v>0.15</v>
      </c>
      <c r="H474" s="7" t="str">
        <f>'CDC Source Data'!G337</f>
        <v>Completeness of provisional 2019 data under 90% after 6 months.</v>
      </c>
      <c r="I474" s="97">
        <v>15.4</v>
      </c>
      <c r="J474" s="97">
        <v>16.100000000000001</v>
      </c>
      <c r="K474" s="98">
        <v>86</v>
      </c>
      <c r="L474" s="98">
        <v>104</v>
      </c>
      <c r="M474" s="98">
        <v>101</v>
      </c>
      <c r="N474" s="98">
        <v>99</v>
      </c>
      <c r="O474" s="98">
        <v>106</v>
      </c>
      <c r="P474" s="98">
        <v>111</v>
      </c>
      <c r="Q474" s="98">
        <v>116</v>
      </c>
      <c r="R474" s="98">
        <v>131</v>
      </c>
      <c r="S474" s="98">
        <v>140</v>
      </c>
      <c r="T474" s="98">
        <v>117</v>
      </c>
      <c r="U474" s="98">
        <v>115</v>
      </c>
      <c r="V474" s="98">
        <v>110</v>
      </c>
      <c r="W474" s="98">
        <v>104</v>
      </c>
      <c r="X474" s="98">
        <v>120</v>
      </c>
      <c r="Y474" s="98">
        <v>115</v>
      </c>
      <c r="Z474" s="98">
        <v>111</v>
      </c>
      <c r="AA474" s="98">
        <v>111</v>
      </c>
      <c r="AB474" s="98">
        <v>101</v>
      </c>
      <c r="AC474" s="98">
        <v>95</v>
      </c>
      <c r="AD474" s="98">
        <v>82</v>
      </c>
      <c r="AE474" s="98">
        <v>71</v>
      </c>
      <c r="AF474" s="98">
        <v>57</v>
      </c>
      <c r="AG474" s="98">
        <v>51</v>
      </c>
    </row>
    <row r="475" spans="1:33" x14ac:dyDescent="0.3">
      <c r="A475" s="7">
        <v>470</v>
      </c>
      <c r="B475" s="7" t="s">
        <v>813</v>
      </c>
      <c r="C475" s="7" t="s">
        <v>467</v>
      </c>
      <c r="D475" s="8">
        <f>'CDC Source Data'!D11</f>
        <v>183040</v>
      </c>
      <c r="E475" s="8">
        <f>'CDC Source Data'!E11</f>
        <v>22</v>
      </c>
      <c r="F475" s="31">
        <f t="shared" si="7"/>
        <v>12.04662753481121</v>
      </c>
      <c r="G475" s="9">
        <f>'CDC Source Data'!F11</f>
        <v>1.45</v>
      </c>
      <c r="H475" s="7" t="str">
        <f>'CDC Source Data'!G11</f>
        <v>Completeness of provisional 2019 data under 90% after 6 months.</v>
      </c>
      <c r="I475" s="97">
        <v>20</v>
      </c>
      <c r="J475" s="97">
        <v>20.9</v>
      </c>
      <c r="K475" s="98">
        <v>40</v>
      </c>
      <c r="L475" s="98">
        <v>47</v>
      </c>
      <c r="M475" s="98">
        <v>45</v>
      </c>
      <c r="N475" s="98">
        <v>44</v>
      </c>
      <c r="O475" s="98">
        <v>51</v>
      </c>
      <c r="P475" s="98">
        <v>48</v>
      </c>
      <c r="Q475" s="98">
        <v>55</v>
      </c>
      <c r="R475" s="98">
        <v>64</v>
      </c>
      <c r="S475" s="98">
        <v>58</v>
      </c>
      <c r="T475" s="98">
        <v>55</v>
      </c>
      <c r="U475" s="98">
        <v>62</v>
      </c>
      <c r="V475" s="98">
        <v>58</v>
      </c>
      <c r="W475" s="98">
        <v>64</v>
      </c>
      <c r="X475" s="98">
        <v>70</v>
      </c>
      <c r="Y475" s="98">
        <v>53</v>
      </c>
      <c r="Z475" s="98">
        <v>45</v>
      </c>
      <c r="AA475" s="98">
        <v>39</v>
      </c>
      <c r="AB475" s="98">
        <v>32</v>
      </c>
      <c r="AC475" s="98">
        <v>38</v>
      </c>
      <c r="AD475" s="98">
        <v>41</v>
      </c>
      <c r="AE475" s="98">
        <v>40</v>
      </c>
      <c r="AF475" s="98">
        <v>35</v>
      </c>
      <c r="AG475" s="98">
        <v>22</v>
      </c>
    </row>
    <row r="476" spans="1:33" x14ac:dyDescent="0.3">
      <c r="A476" s="7">
        <v>471</v>
      </c>
      <c r="B476" s="7" t="s">
        <v>502</v>
      </c>
      <c r="C476" s="7" t="s">
        <v>604</v>
      </c>
      <c r="D476" s="8">
        <f>'CDC Source Data'!D382</f>
        <v>749613</v>
      </c>
      <c r="E476" s="8">
        <f>'CDC Source Data'!E382</f>
        <v>90</v>
      </c>
      <c r="F476" s="31">
        <f t="shared" si="7"/>
        <v>12.01923076923077</v>
      </c>
      <c r="G476" s="9">
        <f>'CDC Source Data'!F382</f>
        <v>0.28999999999999998</v>
      </c>
      <c r="H476" s="7" t="str">
        <f>'CDC Source Data'!G382</f>
        <v>Completeness of provisional 2019 data under 90% after 6 months.</v>
      </c>
      <c r="I476" s="97">
        <v>16.3</v>
      </c>
      <c r="J476" s="97">
        <v>17.100000000000001</v>
      </c>
      <c r="K476" s="98">
        <v>96</v>
      </c>
      <c r="L476" s="98">
        <v>109</v>
      </c>
      <c r="M476" s="98">
        <v>116</v>
      </c>
      <c r="N476" s="98">
        <v>113</v>
      </c>
      <c r="O476" s="98">
        <v>123</v>
      </c>
      <c r="P476" s="98">
        <v>121</v>
      </c>
      <c r="Q476" s="98">
        <v>131</v>
      </c>
      <c r="R476" s="98">
        <v>129</v>
      </c>
      <c r="S476" s="98">
        <v>124</v>
      </c>
      <c r="T476" s="98">
        <v>141</v>
      </c>
      <c r="U476" s="98">
        <v>132</v>
      </c>
      <c r="V476" s="98">
        <v>135</v>
      </c>
      <c r="W476" s="98">
        <v>135</v>
      </c>
      <c r="X476" s="98">
        <v>118</v>
      </c>
      <c r="Y476" s="98">
        <v>133</v>
      </c>
      <c r="Z476" s="98">
        <v>129</v>
      </c>
      <c r="AA476" s="98">
        <v>126</v>
      </c>
      <c r="AB476" s="98">
        <v>139</v>
      </c>
      <c r="AC476" s="98">
        <v>130</v>
      </c>
      <c r="AD476" s="98">
        <v>126</v>
      </c>
      <c r="AE476" s="98">
        <v>127</v>
      </c>
      <c r="AF476" s="98">
        <v>109</v>
      </c>
      <c r="AG476" s="98">
        <v>90</v>
      </c>
    </row>
    <row r="477" spans="1:33" x14ac:dyDescent="0.3">
      <c r="A477" s="7">
        <v>472</v>
      </c>
      <c r="B477" s="7" t="s">
        <v>814</v>
      </c>
      <c r="C477" s="7" t="s">
        <v>475</v>
      </c>
      <c r="D477" s="8">
        <f>'CDC Source Data'!D139</f>
        <v>453156</v>
      </c>
      <c r="E477" s="8">
        <f>'CDC Source Data'!E139</f>
        <v>54</v>
      </c>
      <c r="F477" s="31">
        <f t="shared" si="7"/>
        <v>12.006195196721508</v>
      </c>
      <c r="G477" s="9">
        <f>'CDC Source Data'!F139</f>
        <v>0.03</v>
      </c>
      <c r="H477" s="7">
        <f>'CDC Source Data'!G139</f>
        <v>0</v>
      </c>
      <c r="I477" s="97">
        <v>10.5</v>
      </c>
      <c r="J477" s="97">
        <v>10.9</v>
      </c>
      <c r="K477" s="98">
        <v>52</v>
      </c>
      <c r="L477" s="98">
        <v>59</v>
      </c>
      <c r="M477" s="98">
        <v>68</v>
      </c>
      <c r="N477" s="98">
        <v>63</v>
      </c>
      <c r="O477" s="98">
        <v>68</v>
      </c>
      <c r="P477" s="98">
        <v>65</v>
      </c>
      <c r="Q477" s="98">
        <v>65</v>
      </c>
      <c r="R477" s="98">
        <v>69</v>
      </c>
      <c r="S477" s="98">
        <v>73</v>
      </c>
      <c r="T477" s="98">
        <v>70</v>
      </c>
      <c r="U477" s="98">
        <v>64</v>
      </c>
      <c r="V477" s="98">
        <v>60</v>
      </c>
      <c r="W477" s="98">
        <v>55</v>
      </c>
      <c r="X477" s="98">
        <v>59</v>
      </c>
      <c r="Y477" s="98">
        <v>59</v>
      </c>
      <c r="Z477" s="98">
        <v>66</v>
      </c>
      <c r="AA477" s="98">
        <v>73</v>
      </c>
      <c r="AB477" s="98">
        <v>63</v>
      </c>
      <c r="AC477" s="98">
        <v>71</v>
      </c>
      <c r="AD477" s="98">
        <v>62</v>
      </c>
      <c r="AE477" s="98">
        <v>55</v>
      </c>
      <c r="AF477" s="98">
        <v>61</v>
      </c>
      <c r="AG477" s="98">
        <v>54</v>
      </c>
    </row>
    <row r="478" spans="1:33" x14ac:dyDescent="0.3">
      <c r="A478" s="7">
        <v>473</v>
      </c>
      <c r="B478" s="7" t="s">
        <v>815</v>
      </c>
      <c r="C478" s="7" t="s">
        <v>239</v>
      </c>
      <c r="D478" s="8">
        <f>'CDC Source Data'!D452</f>
        <v>497003</v>
      </c>
      <c r="E478" s="8">
        <f>'CDC Source Data'!E452</f>
        <v>59</v>
      </c>
      <c r="F478" s="31">
        <f t="shared" si="7"/>
        <v>11.916426131398458</v>
      </c>
      <c r="G478" s="9">
        <f>'CDC Source Data'!F452</f>
        <v>0</v>
      </c>
      <c r="H478" s="7">
        <f>'CDC Source Data'!G452</f>
        <v>0</v>
      </c>
      <c r="I478" s="97">
        <v>12.1</v>
      </c>
      <c r="J478" s="97">
        <v>12.7</v>
      </c>
      <c r="K478" s="98">
        <v>71</v>
      </c>
      <c r="L478" s="98">
        <v>86</v>
      </c>
      <c r="M478" s="98">
        <v>99</v>
      </c>
      <c r="N478" s="98">
        <v>111</v>
      </c>
      <c r="O478" s="98">
        <v>102</v>
      </c>
      <c r="P478" s="98">
        <v>96</v>
      </c>
      <c r="Q478" s="98">
        <v>86</v>
      </c>
      <c r="R478" s="98">
        <v>81</v>
      </c>
      <c r="S478" s="98">
        <v>87</v>
      </c>
      <c r="T478" s="98">
        <v>80</v>
      </c>
      <c r="U478" s="98">
        <v>82</v>
      </c>
      <c r="V478" s="98">
        <v>77</v>
      </c>
      <c r="W478" s="98">
        <v>70</v>
      </c>
      <c r="X478" s="98">
        <v>77</v>
      </c>
      <c r="Y478" s="98">
        <v>79</v>
      </c>
      <c r="Z478" s="98">
        <v>83</v>
      </c>
      <c r="AA478" s="98">
        <v>82</v>
      </c>
      <c r="AB478" s="98">
        <v>75</v>
      </c>
      <c r="AC478" s="98">
        <v>68</v>
      </c>
      <c r="AD478" s="98">
        <v>65</v>
      </c>
      <c r="AE478" s="98">
        <v>58</v>
      </c>
      <c r="AF478" s="98">
        <v>53</v>
      </c>
      <c r="AG478" s="98">
        <v>59</v>
      </c>
    </row>
    <row r="479" spans="1:33" x14ac:dyDescent="0.3">
      <c r="A479" s="7">
        <v>474</v>
      </c>
      <c r="B479" s="7" t="s">
        <v>577</v>
      </c>
      <c r="C479" s="7" t="s">
        <v>267</v>
      </c>
      <c r="D479" s="8">
        <f>'CDC Source Data'!D274</f>
        <v>632276</v>
      </c>
      <c r="E479" s="8">
        <f>'CDC Source Data'!E274</f>
        <v>74</v>
      </c>
      <c r="F479" s="31">
        <f t="shared" si="7"/>
        <v>11.871155707309615</v>
      </c>
      <c r="G479" s="9">
        <f>'CDC Source Data'!F274</f>
        <v>0</v>
      </c>
      <c r="H479" s="7">
        <f>'CDC Source Data'!G274</f>
        <v>0</v>
      </c>
      <c r="I479" s="97">
        <v>11.2</v>
      </c>
      <c r="J479" s="97">
        <v>11.7</v>
      </c>
      <c r="K479" s="98">
        <v>61</v>
      </c>
      <c r="L479" s="98">
        <v>61</v>
      </c>
      <c r="M479" s="98">
        <v>64</v>
      </c>
      <c r="N479" s="98">
        <v>77</v>
      </c>
      <c r="O479" s="98">
        <v>87</v>
      </c>
      <c r="P479" s="98">
        <v>86</v>
      </c>
      <c r="Q479" s="98">
        <v>95</v>
      </c>
      <c r="R479" s="98">
        <v>97</v>
      </c>
      <c r="S479" s="98">
        <v>106</v>
      </c>
      <c r="T479" s="98">
        <v>111</v>
      </c>
      <c r="U479" s="98">
        <v>107</v>
      </c>
      <c r="V479" s="98">
        <v>110</v>
      </c>
      <c r="W479" s="98">
        <v>104</v>
      </c>
      <c r="X479" s="98">
        <v>102</v>
      </c>
      <c r="Y479" s="98">
        <v>106</v>
      </c>
      <c r="Z479" s="98">
        <v>95</v>
      </c>
      <c r="AA479" s="98">
        <v>101</v>
      </c>
      <c r="AB479" s="98">
        <v>101</v>
      </c>
      <c r="AC479" s="98">
        <v>87</v>
      </c>
      <c r="AD479" s="98">
        <v>83</v>
      </c>
      <c r="AE479" s="98">
        <v>77</v>
      </c>
      <c r="AF479" s="98">
        <v>76</v>
      </c>
      <c r="AG479" s="98">
        <v>74</v>
      </c>
    </row>
    <row r="480" spans="1:33" x14ac:dyDescent="0.3">
      <c r="A480" s="7">
        <v>475</v>
      </c>
      <c r="B480" s="7" t="s">
        <v>816</v>
      </c>
      <c r="C480" s="7" t="s">
        <v>19</v>
      </c>
      <c r="D480" s="8">
        <f>'CDC Source Data'!D310</f>
        <v>145319</v>
      </c>
      <c r="E480" s="8">
        <f>'CDC Source Data'!E310</f>
        <v>17</v>
      </c>
      <c r="F480" s="31">
        <f t="shared" si="7"/>
        <v>11.70374962832687</v>
      </c>
      <c r="G480" s="9">
        <f>'CDC Source Data'!F310</f>
        <v>0</v>
      </c>
      <c r="H480" s="7" t="str">
        <f>'CDC Source Data'!G310</f>
        <v>Completeness of provisional 2019 data under 90% after 6 months.</v>
      </c>
      <c r="I480" s="97">
        <v>14.5</v>
      </c>
      <c r="J480" s="97">
        <v>15.1</v>
      </c>
      <c r="K480" s="98">
        <v>33</v>
      </c>
      <c r="L480" s="98">
        <v>43</v>
      </c>
      <c r="M480" s="98">
        <v>49</v>
      </c>
      <c r="N480" s="98">
        <v>44</v>
      </c>
      <c r="O480" s="98">
        <v>45</v>
      </c>
      <c r="P480" s="98">
        <v>41</v>
      </c>
      <c r="Q480" s="98">
        <v>36</v>
      </c>
      <c r="R480" s="98">
        <v>35</v>
      </c>
      <c r="S480" s="98">
        <v>36</v>
      </c>
      <c r="T480" s="98">
        <v>33</v>
      </c>
      <c r="U480" s="98">
        <v>34</v>
      </c>
      <c r="V480" s="98">
        <v>34</v>
      </c>
      <c r="W480" s="98">
        <v>33</v>
      </c>
      <c r="X480" s="98">
        <v>34</v>
      </c>
      <c r="Y480" s="98">
        <v>37</v>
      </c>
      <c r="Z480" s="98">
        <v>38</v>
      </c>
      <c r="AA480" s="98">
        <v>36</v>
      </c>
      <c r="AB480" s="98">
        <v>30</v>
      </c>
      <c r="AC480" s="98">
        <v>24</v>
      </c>
      <c r="AD480" s="98">
        <v>23</v>
      </c>
      <c r="AE480" s="98">
        <v>17</v>
      </c>
      <c r="AF480" s="98">
        <v>18</v>
      </c>
      <c r="AG480" s="98">
        <v>17</v>
      </c>
    </row>
    <row r="481" spans="1:33" x14ac:dyDescent="0.3">
      <c r="A481" s="7">
        <v>476</v>
      </c>
      <c r="B481" s="7" t="s">
        <v>817</v>
      </c>
      <c r="C481" s="7" t="s">
        <v>475</v>
      </c>
      <c r="D481" s="8">
        <f>'CDC Source Data'!D513</f>
        <v>103059</v>
      </c>
      <c r="E481" s="8">
        <f>'CDC Source Data'!E513</f>
        <v>12</v>
      </c>
      <c r="F481" s="31">
        <f t="shared" si="7"/>
        <v>11.698401447849214</v>
      </c>
      <c r="G481" s="9">
        <f>'CDC Source Data'!F513</f>
        <v>0</v>
      </c>
      <c r="H481" s="7">
        <f>'CDC Source Data'!G513</f>
        <v>0</v>
      </c>
      <c r="I481" s="97">
        <v>11.7</v>
      </c>
      <c r="J481" s="97">
        <v>12.2</v>
      </c>
      <c r="K481" s="98">
        <v>11</v>
      </c>
      <c r="L481" s="98">
        <v>12</v>
      </c>
      <c r="M481" s="98">
        <v>17</v>
      </c>
      <c r="N481" s="98">
        <v>19</v>
      </c>
      <c r="O481" s="98">
        <v>17</v>
      </c>
      <c r="P481" s="98">
        <v>16</v>
      </c>
      <c r="Q481" s="98">
        <v>13</v>
      </c>
      <c r="R481" s="98">
        <v>11</v>
      </c>
      <c r="S481" s="98">
        <v>12</v>
      </c>
      <c r="T481" s="98">
        <v>10</v>
      </c>
      <c r="U481" s="100"/>
      <c r="V481" s="100"/>
      <c r="W481" s="100"/>
      <c r="X481" s="100"/>
      <c r="Y481" s="98">
        <v>13</v>
      </c>
      <c r="Z481" s="98">
        <v>12</v>
      </c>
      <c r="AA481" s="98">
        <v>13</v>
      </c>
      <c r="AB481" s="98">
        <v>11</v>
      </c>
      <c r="AC481" s="100"/>
      <c r="AD481" s="98">
        <v>10</v>
      </c>
      <c r="AE481" s="98">
        <v>12</v>
      </c>
      <c r="AF481" s="98">
        <v>13</v>
      </c>
      <c r="AG481" s="98">
        <v>12</v>
      </c>
    </row>
    <row r="482" spans="1:33" x14ac:dyDescent="0.3">
      <c r="A482" s="7">
        <v>477</v>
      </c>
      <c r="B482" s="7" t="s">
        <v>818</v>
      </c>
      <c r="C482" s="7" t="s">
        <v>572</v>
      </c>
      <c r="D482" s="8">
        <f>'CDC Source Data'!D570</f>
        <v>747234</v>
      </c>
      <c r="E482" s="8">
        <f>'CDC Source Data'!E570</f>
        <v>87</v>
      </c>
      <c r="F482" s="31">
        <f t="shared" si="7"/>
        <v>11.643815678397811</v>
      </c>
      <c r="G482" s="9">
        <f>'CDC Source Data'!F570</f>
        <v>0.18</v>
      </c>
      <c r="H482" s="7" t="str">
        <f>'CDC Source Data'!G570</f>
        <v>Completeness of provisional 2019 data under 90% after 6 months.</v>
      </c>
      <c r="I482" s="97">
        <v>18.899999999999999</v>
      </c>
      <c r="J482" s="97">
        <v>19.8</v>
      </c>
      <c r="K482" s="98">
        <v>82</v>
      </c>
      <c r="L482" s="98">
        <v>93</v>
      </c>
      <c r="M482" s="98">
        <v>92</v>
      </c>
      <c r="N482" s="98">
        <v>87</v>
      </c>
      <c r="O482" s="98">
        <v>89</v>
      </c>
      <c r="P482" s="98">
        <v>90</v>
      </c>
      <c r="Q482" s="98">
        <v>86</v>
      </c>
      <c r="R482" s="98">
        <v>84</v>
      </c>
      <c r="S482" s="98">
        <v>81</v>
      </c>
      <c r="T482" s="98">
        <v>75</v>
      </c>
      <c r="U482" s="98">
        <v>75</v>
      </c>
      <c r="V482" s="98">
        <v>71</v>
      </c>
      <c r="W482" s="98">
        <v>75</v>
      </c>
      <c r="X482" s="98">
        <v>76</v>
      </c>
      <c r="Y482" s="98">
        <v>77</v>
      </c>
      <c r="Z482" s="98">
        <v>91</v>
      </c>
      <c r="AA482" s="98">
        <v>101</v>
      </c>
      <c r="AB482" s="98">
        <v>110</v>
      </c>
      <c r="AC482" s="98">
        <v>113</v>
      </c>
      <c r="AD482" s="98">
        <v>99</v>
      </c>
      <c r="AE482" s="98">
        <v>93</v>
      </c>
      <c r="AF482" s="98">
        <v>88</v>
      </c>
      <c r="AG482" s="98">
        <v>87</v>
      </c>
    </row>
    <row r="483" spans="1:33" x14ac:dyDescent="0.3">
      <c r="A483" s="7">
        <v>478</v>
      </c>
      <c r="B483" s="7" t="s">
        <v>681</v>
      </c>
      <c r="C483" s="7" t="s">
        <v>15</v>
      </c>
      <c r="D483" s="8">
        <f>'CDC Source Data'!D290</f>
        <v>154913</v>
      </c>
      <c r="E483" s="8">
        <f>'CDC Source Data'!E290</f>
        <v>18</v>
      </c>
      <c r="F483" s="31">
        <f t="shared" si="7"/>
        <v>11.642939159620681</v>
      </c>
      <c r="G483" s="9">
        <f>'CDC Source Data'!F290</f>
        <v>0.86</v>
      </c>
      <c r="H483" s="7">
        <f>'CDC Source Data'!G290</f>
        <v>0</v>
      </c>
      <c r="I483" s="97">
        <v>13.4</v>
      </c>
      <c r="J483" s="97">
        <v>13.9</v>
      </c>
      <c r="K483" s="98">
        <v>17</v>
      </c>
      <c r="L483" s="98">
        <v>16</v>
      </c>
      <c r="M483" s="98">
        <v>19</v>
      </c>
      <c r="N483" s="98">
        <v>22</v>
      </c>
      <c r="O483" s="98">
        <v>29</v>
      </c>
      <c r="P483" s="98">
        <v>28</v>
      </c>
      <c r="Q483" s="98">
        <v>31</v>
      </c>
      <c r="R483" s="98">
        <v>29</v>
      </c>
      <c r="S483" s="98">
        <v>29</v>
      </c>
      <c r="T483" s="98">
        <v>28</v>
      </c>
      <c r="U483" s="98">
        <v>27</v>
      </c>
      <c r="V483" s="98">
        <v>31</v>
      </c>
      <c r="W483" s="98">
        <v>30</v>
      </c>
      <c r="X483" s="98">
        <v>35</v>
      </c>
      <c r="Y483" s="98">
        <v>32</v>
      </c>
      <c r="Z483" s="98">
        <v>27</v>
      </c>
      <c r="AA483" s="98">
        <v>23</v>
      </c>
      <c r="AB483" s="98">
        <v>22</v>
      </c>
      <c r="AC483" s="98">
        <v>27</v>
      </c>
      <c r="AD483" s="98">
        <v>27</v>
      </c>
      <c r="AE483" s="98">
        <v>26</v>
      </c>
      <c r="AF483" s="98">
        <v>21</v>
      </c>
      <c r="AG483" s="98">
        <v>18</v>
      </c>
    </row>
    <row r="484" spans="1:33" x14ac:dyDescent="0.3">
      <c r="A484" s="7">
        <v>479</v>
      </c>
      <c r="B484" s="7" t="s">
        <v>819</v>
      </c>
      <c r="C484" s="7" t="s">
        <v>50</v>
      </c>
      <c r="D484" s="8">
        <f>'CDC Source Data'!D341</f>
        <v>458352</v>
      </c>
      <c r="E484" s="8">
        <f>'CDC Source Data'!E341</f>
        <v>53</v>
      </c>
      <c r="F484" s="31">
        <f t="shared" si="7"/>
        <v>11.619425096667161</v>
      </c>
      <c r="G484" s="9">
        <f>'CDC Source Data'!F341</f>
        <v>0.02</v>
      </c>
      <c r="H484" s="7" t="str">
        <f>'CDC Source Data'!G341</f>
        <v>Completeness of provisional 2019 data under 90% after 6 months.</v>
      </c>
      <c r="I484" s="97">
        <v>32.4</v>
      </c>
      <c r="J484" s="97">
        <v>33.799999999999997</v>
      </c>
      <c r="K484" s="98">
        <v>125</v>
      </c>
      <c r="L484" s="98">
        <v>132</v>
      </c>
      <c r="M484" s="98">
        <v>138</v>
      </c>
      <c r="N484" s="98">
        <v>135</v>
      </c>
      <c r="O484" s="98">
        <v>137</v>
      </c>
      <c r="P484" s="98">
        <v>136</v>
      </c>
      <c r="Q484" s="98">
        <v>139</v>
      </c>
      <c r="R484" s="98">
        <v>150</v>
      </c>
      <c r="S484" s="98">
        <v>152</v>
      </c>
      <c r="T484" s="98">
        <v>150</v>
      </c>
      <c r="U484" s="98">
        <v>157</v>
      </c>
      <c r="V484" s="98">
        <v>155</v>
      </c>
      <c r="W484" s="98">
        <v>149</v>
      </c>
      <c r="X484" s="98">
        <v>153</v>
      </c>
      <c r="Y484" s="98">
        <v>145</v>
      </c>
      <c r="Z484" s="98">
        <v>155</v>
      </c>
      <c r="AA484" s="98">
        <v>162</v>
      </c>
      <c r="AB484" s="98">
        <v>141</v>
      </c>
      <c r="AC484" s="98">
        <v>125</v>
      </c>
      <c r="AD484" s="98">
        <v>94</v>
      </c>
      <c r="AE484" s="98">
        <v>62</v>
      </c>
      <c r="AF484" s="98">
        <v>59</v>
      </c>
      <c r="AG484" s="98">
        <v>53</v>
      </c>
    </row>
    <row r="485" spans="1:33" x14ac:dyDescent="0.3">
      <c r="A485" s="7">
        <v>480</v>
      </c>
      <c r="B485" s="7" t="s">
        <v>820</v>
      </c>
      <c r="C485" s="7" t="s">
        <v>469</v>
      </c>
      <c r="D485" s="8">
        <f>'CDC Source Data'!D327</f>
        <v>122082</v>
      </c>
      <c r="E485" s="8">
        <f>'CDC Source Data'!E327</f>
        <v>14</v>
      </c>
      <c r="F485" s="31">
        <f t="shared" si="7"/>
        <v>11.563165427444408</v>
      </c>
      <c r="G485" s="9">
        <f>'CDC Source Data'!F327</f>
        <v>0.6</v>
      </c>
      <c r="H485" s="7">
        <f>'CDC Source Data'!G327</f>
        <v>0</v>
      </c>
      <c r="I485" s="97">
        <v>8.3000000000000007</v>
      </c>
      <c r="J485" s="97">
        <v>8.6999999999999993</v>
      </c>
      <c r="K485" s="100"/>
      <c r="L485" s="100"/>
      <c r="M485" s="100"/>
      <c r="N485" s="100"/>
      <c r="O485" s="98">
        <v>11</v>
      </c>
      <c r="P485" s="98">
        <v>14</v>
      </c>
      <c r="Q485" s="98">
        <v>16</v>
      </c>
      <c r="R485" s="98">
        <v>17</v>
      </c>
      <c r="S485" s="98">
        <v>13</v>
      </c>
      <c r="T485" s="98">
        <v>12</v>
      </c>
      <c r="U485" s="98">
        <v>10</v>
      </c>
      <c r="V485" s="100"/>
      <c r="W485" s="98">
        <v>10</v>
      </c>
      <c r="X485" s="98">
        <v>17</v>
      </c>
      <c r="Y485" s="98">
        <v>20</v>
      </c>
      <c r="Z485" s="98">
        <v>23</v>
      </c>
      <c r="AA485" s="98">
        <v>23</v>
      </c>
      <c r="AB485" s="98">
        <v>15</v>
      </c>
      <c r="AC485" s="98">
        <v>12</v>
      </c>
      <c r="AD485" s="98">
        <v>12</v>
      </c>
      <c r="AE485" s="98">
        <v>11</v>
      </c>
      <c r="AF485" s="98">
        <v>14</v>
      </c>
      <c r="AG485" s="98">
        <v>14</v>
      </c>
    </row>
    <row r="486" spans="1:33" x14ac:dyDescent="0.3">
      <c r="A486" s="7">
        <v>481</v>
      </c>
      <c r="B486" s="7" t="s">
        <v>821</v>
      </c>
      <c r="C486" s="7" t="s">
        <v>447</v>
      </c>
      <c r="D486" s="8">
        <f>'CDC Source Data'!D317</f>
        <v>184898</v>
      </c>
      <c r="E486" s="8">
        <f>'CDC Source Data'!E317</f>
        <v>21</v>
      </c>
      <c r="F486" s="31">
        <f t="shared" si="7"/>
        <v>11.467702036336233</v>
      </c>
      <c r="G486" s="9">
        <f>'CDC Source Data'!F317</f>
        <v>0.11</v>
      </c>
      <c r="H486" s="7">
        <f>'CDC Source Data'!G317</f>
        <v>0</v>
      </c>
      <c r="I486" s="97">
        <v>22.7</v>
      </c>
      <c r="J486" s="97">
        <v>23.7</v>
      </c>
      <c r="K486" s="98">
        <v>45</v>
      </c>
      <c r="L486" s="98">
        <v>52</v>
      </c>
      <c r="M486" s="98">
        <v>63</v>
      </c>
      <c r="N486" s="98">
        <v>58</v>
      </c>
      <c r="O486" s="98">
        <v>63</v>
      </c>
      <c r="P486" s="98">
        <v>66</v>
      </c>
      <c r="Q486" s="98">
        <v>64</v>
      </c>
      <c r="R486" s="98">
        <v>68</v>
      </c>
      <c r="S486" s="98">
        <v>80</v>
      </c>
      <c r="T486" s="98">
        <v>66</v>
      </c>
      <c r="U486" s="98">
        <v>64</v>
      </c>
      <c r="V486" s="98">
        <v>61</v>
      </c>
      <c r="W486" s="98">
        <v>43</v>
      </c>
      <c r="X486" s="98">
        <v>45</v>
      </c>
      <c r="Y486" s="98">
        <v>43</v>
      </c>
      <c r="Z486" s="98">
        <v>43</v>
      </c>
      <c r="AA486" s="98">
        <v>40</v>
      </c>
      <c r="AB486" s="98">
        <v>46</v>
      </c>
      <c r="AC486" s="98">
        <v>42</v>
      </c>
      <c r="AD486" s="98">
        <v>34</v>
      </c>
      <c r="AE486" s="98">
        <v>32</v>
      </c>
      <c r="AF486" s="98">
        <v>24</v>
      </c>
      <c r="AG486" s="98">
        <v>21</v>
      </c>
    </row>
    <row r="487" spans="1:33" x14ac:dyDescent="0.3">
      <c r="A487" s="7">
        <v>482</v>
      </c>
      <c r="B487" s="7" t="s">
        <v>822</v>
      </c>
      <c r="C487" s="7" t="s">
        <v>21</v>
      </c>
      <c r="D487" s="8">
        <f>'CDC Source Data'!D156</f>
        <v>211535</v>
      </c>
      <c r="E487" s="8">
        <f>'CDC Source Data'!E156</f>
        <v>24</v>
      </c>
      <c r="F487" s="31">
        <f t="shared" si="7"/>
        <v>11.357613386840312</v>
      </c>
      <c r="G487" s="9">
        <f>'CDC Source Data'!F156</f>
        <v>0.79</v>
      </c>
      <c r="H487" s="7" t="str">
        <f>'CDC Source Data'!G156</f>
        <v>Completeness of provisional 2019 data under 90% after 6 months.</v>
      </c>
      <c r="I487" s="97">
        <v>12.2</v>
      </c>
      <c r="J487" s="97">
        <v>12.8</v>
      </c>
      <c r="K487" s="98">
        <v>12</v>
      </c>
      <c r="L487" s="98">
        <v>15</v>
      </c>
      <c r="M487" s="98">
        <v>12</v>
      </c>
      <c r="N487" s="98">
        <v>18</v>
      </c>
      <c r="O487" s="98">
        <v>23</v>
      </c>
      <c r="P487" s="98">
        <v>24</v>
      </c>
      <c r="Q487" s="98">
        <v>26</v>
      </c>
      <c r="R487" s="98">
        <v>25</v>
      </c>
      <c r="S487" s="98">
        <v>24</v>
      </c>
      <c r="T487" s="98">
        <v>25</v>
      </c>
      <c r="U487" s="98">
        <v>25</v>
      </c>
      <c r="V487" s="98">
        <v>31</v>
      </c>
      <c r="W487" s="98">
        <v>29</v>
      </c>
      <c r="X487" s="98">
        <v>29</v>
      </c>
      <c r="Y487" s="98">
        <v>31</v>
      </c>
      <c r="Z487" s="98">
        <v>30</v>
      </c>
      <c r="AA487" s="98">
        <v>40</v>
      </c>
      <c r="AB487" s="98">
        <v>46</v>
      </c>
      <c r="AC487" s="98">
        <v>45</v>
      </c>
      <c r="AD487" s="98">
        <v>41</v>
      </c>
      <c r="AE487" s="98">
        <v>30</v>
      </c>
      <c r="AF487" s="98">
        <v>26</v>
      </c>
      <c r="AG487" s="98">
        <v>24</v>
      </c>
    </row>
    <row r="488" spans="1:33" x14ac:dyDescent="0.3">
      <c r="A488" s="7">
        <v>483</v>
      </c>
      <c r="B488" s="7" t="s">
        <v>823</v>
      </c>
      <c r="C488" s="7" t="s">
        <v>604</v>
      </c>
      <c r="D488" s="8">
        <f>'CDC Source Data'!D34</f>
        <v>114931</v>
      </c>
      <c r="E488" s="8">
        <f>'CDC Source Data'!E34</f>
        <v>13</v>
      </c>
      <c r="F488" s="31">
        <f t="shared" si="7"/>
        <v>11.345640201385114</v>
      </c>
      <c r="G488" s="9">
        <f>'CDC Source Data'!F34</f>
        <v>0</v>
      </c>
      <c r="H488" s="7">
        <f>'CDC Source Data'!G34</f>
        <v>0</v>
      </c>
      <c r="I488" s="97">
        <v>12.9</v>
      </c>
      <c r="J488" s="97">
        <v>13.5</v>
      </c>
      <c r="K488" s="100"/>
      <c r="L488" s="98">
        <v>11</v>
      </c>
      <c r="M488" s="98">
        <v>18</v>
      </c>
      <c r="N488" s="98">
        <v>15</v>
      </c>
      <c r="O488" s="98">
        <v>18</v>
      </c>
      <c r="P488" s="98">
        <v>14</v>
      </c>
      <c r="Q488" s="98">
        <v>10</v>
      </c>
      <c r="R488" s="98">
        <v>13</v>
      </c>
      <c r="S488" s="98">
        <v>15</v>
      </c>
      <c r="T488" s="98">
        <v>17</v>
      </c>
      <c r="U488" s="98">
        <v>14</v>
      </c>
      <c r="V488" s="98">
        <v>13</v>
      </c>
      <c r="W488" s="98">
        <v>11</v>
      </c>
      <c r="X488" s="98">
        <v>16</v>
      </c>
      <c r="Y488" s="98">
        <v>24</v>
      </c>
      <c r="Z488" s="98">
        <v>25</v>
      </c>
      <c r="AA488" s="98">
        <v>27</v>
      </c>
      <c r="AB488" s="98">
        <v>27</v>
      </c>
      <c r="AC488" s="98">
        <v>21</v>
      </c>
      <c r="AD488" s="98">
        <v>17</v>
      </c>
      <c r="AE488" s="98">
        <v>17</v>
      </c>
      <c r="AF488" s="98">
        <v>15</v>
      </c>
      <c r="AG488" s="98">
        <v>13</v>
      </c>
    </row>
    <row r="489" spans="1:33" x14ac:dyDescent="0.3">
      <c r="A489" s="7">
        <v>484</v>
      </c>
      <c r="B489" s="7" t="s">
        <v>824</v>
      </c>
      <c r="C489" s="7" t="s">
        <v>604</v>
      </c>
      <c r="D489" s="8">
        <f>'CDC Source Data'!D234</f>
        <v>292029</v>
      </c>
      <c r="E489" s="8">
        <f>'CDC Source Data'!E234</f>
        <v>33</v>
      </c>
      <c r="F489" s="31">
        <f t="shared" si="7"/>
        <v>11.311134506791031</v>
      </c>
      <c r="G489" s="9">
        <f>'CDC Source Data'!F234</f>
        <v>0.83</v>
      </c>
      <c r="H489" s="7" t="str">
        <f>'CDC Source Data'!G234</f>
        <v>Completeness of provisional 2019 data under 90% after 6 months.</v>
      </c>
      <c r="I489" s="97">
        <v>9.6999999999999993</v>
      </c>
      <c r="J489" s="97">
        <v>10.1</v>
      </c>
      <c r="K489" s="98">
        <v>10</v>
      </c>
      <c r="L489" s="98">
        <v>11</v>
      </c>
      <c r="M489" s="98">
        <v>12</v>
      </c>
      <c r="N489" s="98">
        <v>13</v>
      </c>
      <c r="O489" s="98">
        <v>19</v>
      </c>
      <c r="P489" s="98">
        <v>29</v>
      </c>
      <c r="Q489" s="98">
        <v>35</v>
      </c>
      <c r="R489" s="98">
        <v>40</v>
      </c>
      <c r="S489" s="98">
        <v>37</v>
      </c>
      <c r="T489" s="98">
        <v>31</v>
      </c>
      <c r="U489" s="98">
        <v>35</v>
      </c>
      <c r="V489" s="98">
        <v>35</v>
      </c>
      <c r="W489" s="98">
        <v>36</v>
      </c>
      <c r="X489" s="98">
        <v>45</v>
      </c>
      <c r="Y489" s="98">
        <v>37</v>
      </c>
      <c r="Z489" s="98">
        <v>42</v>
      </c>
      <c r="AA489" s="98">
        <v>43</v>
      </c>
      <c r="AB489" s="98">
        <v>33</v>
      </c>
      <c r="AC489" s="98">
        <v>35</v>
      </c>
      <c r="AD489" s="98">
        <v>31</v>
      </c>
      <c r="AE489" s="98">
        <v>33</v>
      </c>
      <c r="AF489" s="98">
        <v>38</v>
      </c>
      <c r="AG489" s="98">
        <v>33</v>
      </c>
    </row>
    <row r="490" spans="1:33" x14ac:dyDescent="0.3">
      <c r="A490" s="7">
        <v>485</v>
      </c>
      <c r="B490" s="7" t="s">
        <v>825</v>
      </c>
      <c r="C490" s="7" t="s">
        <v>588</v>
      </c>
      <c r="D490" s="8">
        <f>'CDC Source Data'!D132</f>
        <v>115852</v>
      </c>
      <c r="E490" s="8">
        <f>'CDC Source Data'!E132</f>
        <v>13</v>
      </c>
      <c r="F490" s="31">
        <f t="shared" si="7"/>
        <v>11.300247578151485</v>
      </c>
      <c r="G490" s="9">
        <f>'CDC Source Data'!F132</f>
        <v>0.18</v>
      </c>
      <c r="H490" s="7">
        <f>'CDC Source Data'!G132</f>
        <v>0</v>
      </c>
      <c r="I490" s="97">
        <v>14.9</v>
      </c>
      <c r="J490" s="97">
        <v>15.5</v>
      </c>
      <c r="K490" s="100"/>
      <c r="L490" s="98">
        <v>10</v>
      </c>
      <c r="M490" s="98">
        <v>10</v>
      </c>
      <c r="N490" s="100"/>
      <c r="O490" s="98">
        <v>12</v>
      </c>
      <c r="P490" s="98">
        <v>11</v>
      </c>
      <c r="Q490" s="98">
        <v>15</v>
      </c>
      <c r="R490" s="98">
        <v>19</v>
      </c>
      <c r="S490" s="98">
        <v>19</v>
      </c>
      <c r="T490" s="98">
        <v>18</v>
      </c>
      <c r="U490" s="98">
        <v>18</v>
      </c>
      <c r="V490" s="98">
        <v>17</v>
      </c>
      <c r="W490" s="98">
        <v>14</v>
      </c>
      <c r="X490" s="98">
        <v>17</v>
      </c>
      <c r="Y490" s="98">
        <v>17</v>
      </c>
      <c r="Z490" s="98">
        <v>16</v>
      </c>
      <c r="AA490" s="98">
        <v>16</v>
      </c>
      <c r="AB490" s="98">
        <v>20</v>
      </c>
      <c r="AC490" s="98">
        <v>19</v>
      </c>
      <c r="AD490" s="98">
        <v>22</v>
      </c>
      <c r="AE490" s="98">
        <v>22</v>
      </c>
      <c r="AF490" s="98">
        <v>17</v>
      </c>
      <c r="AG490" s="98">
        <v>13</v>
      </c>
    </row>
    <row r="491" spans="1:33" x14ac:dyDescent="0.3">
      <c r="A491" s="7">
        <v>486</v>
      </c>
      <c r="B491" s="7" t="s">
        <v>826</v>
      </c>
      <c r="C491" s="7" t="s">
        <v>257</v>
      </c>
      <c r="D491" s="8">
        <f>'CDC Source Data'!D461</f>
        <v>160573</v>
      </c>
      <c r="E491" s="8">
        <f>'CDC Source Data'!E461</f>
        <v>18</v>
      </c>
      <c r="F491" s="31">
        <f t="shared" si="7"/>
        <v>11.221213272105791</v>
      </c>
      <c r="G491" s="9">
        <f>'CDC Source Data'!F461</f>
        <v>0</v>
      </c>
      <c r="H491" s="7" t="str">
        <f>'CDC Source Data'!G461</f>
        <v>Completeness of provisional 2019 data under 90% after 6 months.</v>
      </c>
      <c r="I491" s="97">
        <v>17.600000000000001</v>
      </c>
      <c r="J491" s="97">
        <v>18.399999999999999</v>
      </c>
      <c r="K491" s="98">
        <v>26</v>
      </c>
      <c r="L491" s="98">
        <v>34</v>
      </c>
      <c r="M491" s="98">
        <v>37</v>
      </c>
      <c r="N491" s="98">
        <v>40</v>
      </c>
      <c r="O491" s="98">
        <v>38</v>
      </c>
      <c r="P491" s="98">
        <v>34</v>
      </c>
      <c r="Q491" s="98">
        <v>37</v>
      </c>
      <c r="R491" s="98">
        <v>40</v>
      </c>
      <c r="S491" s="98">
        <v>45</v>
      </c>
      <c r="T491" s="98">
        <v>41</v>
      </c>
      <c r="U491" s="98">
        <v>40</v>
      </c>
      <c r="V491" s="98">
        <v>38</v>
      </c>
      <c r="W491" s="98">
        <v>29</v>
      </c>
      <c r="X491" s="98">
        <v>34</v>
      </c>
      <c r="Y491" s="98">
        <v>28</v>
      </c>
      <c r="Z491" s="98">
        <v>29</v>
      </c>
      <c r="AA491" s="98">
        <v>26</v>
      </c>
      <c r="AB491" s="98">
        <v>16</v>
      </c>
      <c r="AC491" s="98">
        <v>18</v>
      </c>
      <c r="AD491" s="98">
        <v>14</v>
      </c>
      <c r="AE491" s="98">
        <v>13</v>
      </c>
      <c r="AF491" s="98">
        <v>18</v>
      </c>
      <c r="AG491" s="98">
        <v>18</v>
      </c>
    </row>
    <row r="492" spans="1:33" x14ac:dyDescent="0.3">
      <c r="A492" s="7">
        <v>487</v>
      </c>
      <c r="B492" s="7" t="s">
        <v>827</v>
      </c>
      <c r="C492" s="7" t="s">
        <v>237</v>
      </c>
      <c r="D492" s="8">
        <f>'CDC Source Data'!D518</f>
        <v>357467</v>
      </c>
      <c r="E492" s="8">
        <f>'CDC Source Data'!E518</f>
        <v>40</v>
      </c>
      <c r="F492" s="31">
        <f t="shared" si="7"/>
        <v>11.209854707827592</v>
      </c>
      <c r="G492" s="9">
        <f>'CDC Source Data'!F518</f>
        <v>0.34</v>
      </c>
      <c r="H492" s="7" t="str">
        <f>'CDC Source Data'!G518</f>
        <v>Completeness of provisional 2019 data under 90% after 6 months.</v>
      </c>
      <c r="I492" s="97">
        <v>12.9</v>
      </c>
      <c r="J492" s="97">
        <v>13.4</v>
      </c>
      <c r="K492" s="98">
        <v>64</v>
      </c>
      <c r="L492" s="98">
        <v>65</v>
      </c>
      <c r="M492" s="98">
        <v>57</v>
      </c>
      <c r="N492" s="98">
        <v>58</v>
      </c>
      <c r="O492" s="98">
        <v>57</v>
      </c>
      <c r="P492" s="98">
        <v>62</v>
      </c>
      <c r="Q492" s="98">
        <v>62</v>
      </c>
      <c r="R492" s="98">
        <v>59</v>
      </c>
      <c r="S492" s="98">
        <v>59</v>
      </c>
      <c r="T492" s="98">
        <v>59</v>
      </c>
      <c r="U492" s="98">
        <v>61</v>
      </c>
      <c r="V492" s="98">
        <v>64</v>
      </c>
      <c r="W492" s="98">
        <v>57</v>
      </c>
      <c r="X492" s="98">
        <v>46</v>
      </c>
      <c r="Y492" s="98">
        <v>43</v>
      </c>
      <c r="Z492" s="98">
        <v>32</v>
      </c>
      <c r="AA492" s="98">
        <v>34</v>
      </c>
      <c r="AB492" s="98">
        <v>36</v>
      </c>
      <c r="AC492" s="98">
        <v>33</v>
      </c>
      <c r="AD492" s="98">
        <v>35</v>
      </c>
      <c r="AE492" s="98">
        <v>35</v>
      </c>
      <c r="AF492" s="98">
        <v>38</v>
      </c>
      <c r="AG492" s="98">
        <v>40</v>
      </c>
    </row>
    <row r="493" spans="1:33" x14ac:dyDescent="0.3">
      <c r="A493" s="7">
        <v>488</v>
      </c>
      <c r="B493" s="7" t="s">
        <v>828</v>
      </c>
      <c r="C493" s="7" t="s">
        <v>480</v>
      </c>
      <c r="D493" s="8">
        <f>'CDC Source Data'!D409</f>
        <v>1296888</v>
      </c>
      <c r="E493" s="8">
        <f>'CDC Source Data'!E409</f>
        <v>145</v>
      </c>
      <c r="F493" s="31">
        <f t="shared" si="7"/>
        <v>11.189844097497112</v>
      </c>
      <c r="G493" s="9">
        <f>'CDC Source Data'!F409</f>
        <v>0.17</v>
      </c>
      <c r="H493" s="7">
        <f>'CDC Source Data'!G409</f>
        <v>0</v>
      </c>
      <c r="I493" s="97">
        <v>13</v>
      </c>
      <c r="J493" s="97">
        <v>13.6</v>
      </c>
      <c r="K493" s="98">
        <v>177</v>
      </c>
      <c r="L493" s="98">
        <v>199</v>
      </c>
      <c r="M493" s="98">
        <v>209</v>
      </c>
      <c r="N493" s="98">
        <v>211</v>
      </c>
      <c r="O493" s="98">
        <v>220</v>
      </c>
      <c r="P493" s="98">
        <v>228</v>
      </c>
      <c r="Q493" s="98">
        <v>232</v>
      </c>
      <c r="R493" s="98">
        <v>262</v>
      </c>
      <c r="S493" s="98">
        <v>248</v>
      </c>
      <c r="T493" s="98">
        <v>234</v>
      </c>
      <c r="U493" s="98">
        <v>244</v>
      </c>
      <c r="V493" s="98">
        <v>232</v>
      </c>
      <c r="W493" s="98">
        <v>263</v>
      </c>
      <c r="X493" s="98">
        <v>263</v>
      </c>
      <c r="Y493" s="98">
        <v>262</v>
      </c>
      <c r="Z493" s="98">
        <v>247</v>
      </c>
      <c r="AA493" s="98">
        <v>228</v>
      </c>
      <c r="AB493" s="98">
        <v>214</v>
      </c>
      <c r="AC493" s="98">
        <v>175</v>
      </c>
      <c r="AD493" s="98">
        <v>170</v>
      </c>
      <c r="AE493" s="98">
        <v>146</v>
      </c>
      <c r="AF493" s="98">
        <v>144</v>
      </c>
      <c r="AG493" s="98">
        <v>145</v>
      </c>
    </row>
    <row r="494" spans="1:33" x14ac:dyDescent="0.3">
      <c r="A494" s="7">
        <v>489</v>
      </c>
      <c r="B494" s="7" t="s">
        <v>829</v>
      </c>
      <c r="C494" s="7" t="s">
        <v>469</v>
      </c>
      <c r="D494" s="8">
        <f>'CDC Source Data'!D219</f>
        <v>1003869</v>
      </c>
      <c r="E494" s="8">
        <f>'CDC Source Data'!E219</f>
        <v>112</v>
      </c>
      <c r="F494" s="31">
        <f t="shared" si="7"/>
        <v>11.180610816045796</v>
      </c>
      <c r="G494" s="9">
        <f>'CDC Source Data'!F219</f>
        <v>7.0000000000000007E-2</v>
      </c>
      <c r="H494" s="7" t="str">
        <f>'CDC Source Data'!G219</f>
        <v>Completeness of provisional 2019 data under 90% after 6 months.</v>
      </c>
      <c r="I494" s="97">
        <v>10.3</v>
      </c>
      <c r="J494" s="97">
        <v>10.8</v>
      </c>
      <c r="K494" s="98">
        <v>79</v>
      </c>
      <c r="L494" s="98">
        <v>90</v>
      </c>
      <c r="M494" s="98">
        <v>97</v>
      </c>
      <c r="N494" s="98">
        <v>118</v>
      </c>
      <c r="O494" s="98">
        <v>134</v>
      </c>
      <c r="P494" s="98">
        <v>143</v>
      </c>
      <c r="Q494" s="98">
        <v>159</v>
      </c>
      <c r="R494" s="98">
        <v>170</v>
      </c>
      <c r="S494" s="98">
        <v>174</v>
      </c>
      <c r="T494" s="98">
        <v>170</v>
      </c>
      <c r="U494" s="98">
        <v>172</v>
      </c>
      <c r="V494" s="98">
        <v>176</v>
      </c>
      <c r="W494" s="98">
        <v>188</v>
      </c>
      <c r="X494" s="98">
        <v>200</v>
      </c>
      <c r="Y494" s="98">
        <v>191</v>
      </c>
      <c r="Z494" s="98">
        <v>180</v>
      </c>
      <c r="AA494" s="98">
        <v>165</v>
      </c>
      <c r="AB494" s="98">
        <v>137</v>
      </c>
      <c r="AC494" s="98">
        <v>138</v>
      </c>
      <c r="AD494" s="98">
        <v>124</v>
      </c>
      <c r="AE494" s="98">
        <v>109</v>
      </c>
      <c r="AF494" s="98">
        <v>124</v>
      </c>
      <c r="AG494" s="98">
        <v>112</v>
      </c>
    </row>
    <row r="495" spans="1:33" x14ac:dyDescent="0.3">
      <c r="A495" s="7">
        <v>490</v>
      </c>
      <c r="B495" s="7" t="s">
        <v>830</v>
      </c>
      <c r="C495" s="7" t="s">
        <v>38</v>
      </c>
      <c r="D495" s="8">
        <f>'CDC Source Data'!D171</f>
        <v>108830</v>
      </c>
      <c r="E495" s="8">
        <f>'CDC Source Data'!E171</f>
        <v>12</v>
      </c>
      <c r="F495" s="31">
        <f t="shared" si="7"/>
        <v>11.156834208447517</v>
      </c>
      <c r="G495" s="9">
        <f>'CDC Source Data'!F171</f>
        <v>0.31</v>
      </c>
      <c r="H495" s="7">
        <f>'CDC Source Data'!G171</f>
        <v>0</v>
      </c>
      <c r="I495" s="97">
        <v>12.1</v>
      </c>
      <c r="J495" s="97">
        <v>12.7</v>
      </c>
      <c r="K495" s="98">
        <v>17</v>
      </c>
      <c r="L495" s="98">
        <v>17</v>
      </c>
      <c r="M495" s="98">
        <v>14</v>
      </c>
      <c r="N495" s="98">
        <v>17</v>
      </c>
      <c r="O495" s="98">
        <v>16</v>
      </c>
      <c r="P495" s="98">
        <v>21</v>
      </c>
      <c r="Q495" s="98">
        <v>22</v>
      </c>
      <c r="R495" s="98">
        <v>19</v>
      </c>
      <c r="S495" s="98">
        <v>19</v>
      </c>
      <c r="T495" s="98">
        <v>15</v>
      </c>
      <c r="U495" s="98">
        <v>18</v>
      </c>
      <c r="V495" s="98">
        <v>20</v>
      </c>
      <c r="W495" s="98">
        <v>21</v>
      </c>
      <c r="X495" s="98">
        <v>22</v>
      </c>
      <c r="Y495" s="98">
        <v>20</v>
      </c>
      <c r="Z495" s="98">
        <v>19</v>
      </c>
      <c r="AA495" s="98">
        <v>22</v>
      </c>
      <c r="AB495" s="98">
        <v>23</v>
      </c>
      <c r="AC495" s="98">
        <v>26</v>
      </c>
      <c r="AD495" s="98">
        <v>22</v>
      </c>
      <c r="AE495" s="98">
        <v>17</v>
      </c>
      <c r="AF495" s="98">
        <v>14</v>
      </c>
      <c r="AG495" s="98">
        <v>12</v>
      </c>
    </row>
    <row r="496" spans="1:33" x14ac:dyDescent="0.3">
      <c r="A496" s="7">
        <v>491</v>
      </c>
      <c r="B496" s="7" t="s">
        <v>831</v>
      </c>
      <c r="C496" s="7" t="s">
        <v>50</v>
      </c>
      <c r="D496" s="8">
        <f>'CDC Source Data'!D314</f>
        <v>300488</v>
      </c>
      <c r="E496" s="8">
        <f>'CDC Source Data'!E314</f>
        <v>33</v>
      </c>
      <c r="F496" s="31">
        <f t="shared" si="7"/>
        <v>11.02637140494349</v>
      </c>
      <c r="G496" s="9">
        <f>'CDC Source Data'!F314</f>
        <v>0.04</v>
      </c>
      <c r="H496" s="7">
        <f>'CDC Source Data'!G314</f>
        <v>0</v>
      </c>
      <c r="I496" s="97">
        <v>9.5</v>
      </c>
      <c r="J496" s="97">
        <v>9.9</v>
      </c>
      <c r="K496" s="98">
        <v>31</v>
      </c>
      <c r="L496" s="98">
        <v>33</v>
      </c>
      <c r="M496" s="98">
        <v>37</v>
      </c>
      <c r="N496" s="98">
        <v>43</v>
      </c>
      <c r="O496" s="98">
        <v>49</v>
      </c>
      <c r="P496" s="98">
        <v>43</v>
      </c>
      <c r="Q496" s="98">
        <v>46</v>
      </c>
      <c r="R496" s="98">
        <v>45</v>
      </c>
      <c r="S496" s="98">
        <v>48</v>
      </c>
      <c r="T496" s="98">
        <v>53</v>
      </c>
      <c r="U496" s="98">
        <v>56</v>
      </c>
      <c r="V496" s="98">
        <v>50</v>
      </c>
      <c r="W496" s="98">
        <v>48</v>
      </c>
      <c r="X496" s="98">
        <v>50</v>
      </c>
      <c r="Y496" s="98">
        <v>42</v>
      </c>
      <c r="Z496" s="98">
        <v>44</v>
      </c>
      <c r="AA496" s="98">
        <v>41</v>
      </c>
      <c r="AB496" s="98">
        <v>35</v>
      </c>
      <c r="AC496" s="98">
        <v>34</v>
      </c>
      <c r="AD496" s="98">
        <v>32</v>
      </c>
      <c r="AE496" s="98">
        <v>35</v>
      </c>
      <c r="AF496" s="98">
        <v>36</v>
      </c>
      <c r="AG496" s="98">
        <v>33</v>
      </c>
    </row>
    <row r="497" spans="1:33" x14ac:dyDescent="0.3">
      <c r="A497" s="7">
        <v>492</v>
      </c>
      <c r="B497" s="7" t="s">
        <v>832</v>
      </c>
      <c r="C497" s="7" t="s">
        <v>480</v>
      </c>
      <c r="D497" s="8">
        <f>'CDC Source Data'!D592</f>
        <v>373875</v>
      </c>
      <c r="E497" s="8">
        <f>'CDC Source Data'!E592</f>
        <v>41</v>
      </c>
      <c r="F497" s="31">
        <f t="shared" si="7"/>
        <v>10.982135725885891</v>
      </c>
      <c r="G497" s="9">
        <f>'CDC Source Data'!F592</f>
        <v>0.24</v>
      </c>
      <c r="H497" s="7" t="str">
        <f>'CDC Source Data'!G592</f>
        <v>Completeness of provisional 2019 data under 90% after 6 months.</v>
      </c>
      <c r="I497" s="97">
        <v>17.399999999999999</v>
      </c>
      <c r="J497" s="97">
        <v>18.2</v>
      </c>
      <c r="K497" s="98">
        <v>66</v>
      </c>
      <c r="L497" s="98">
        <v>69</v>
      </c>
      <c r="M497" s="98">
        <v>68</v>
      </c>
      <c r="N497" s="98">
        <v>73</v>
      </c>
      <c r="O497" s="98">
        <v>81</v>
      </c>
      <c r="P497" s="98">
        <v>84</v>
      </c>
      <c r="Q497" s="98">
        <v>86</v>
      </c>
      <c r="R497" s="98">
        <v>84</v>
      </c>
      <c r="S497" s="98">
        <v>92</v>
      </c>
      <c r="T497" s="98">
        <v>91</v>
      </c>
      <c r="U497" s="98">
        <v>94</v>
      </c>
      <c r="V497" s="98">
        <v>98</v>
      </c>
      <c r="W497" s="98">
        <v>84</v>
      </c>
      <c r="X497" s="98">
        <v>86</v>
      </c>
      <c r="Y497" s="98">
        <v>81</v>
      </c>
      <c r="Z497" s="98">
        <v>72</v>
      </c>
      <c r="AA497" s="98">
        <v>78</v>
      </c>
      <c r="AB497" s="98">
        <v>69</v>
      </c>
      <c r="AC497" s="98">
        <v>67</v>
      </c>
      <c r="AD497" s="98">
        <v>61</v>
      </c>
      <c r="AE497" s="98">
        <v>54</v>
      </c>
      <c r="AF497" s="98">
        <v>46</v>
      </c>
      <c r="AG497" s="98">
        <v>41</v>
      </c>
    </row>
    <row r="498" spans="1:33" x14ac:dyDescent="0.3">
      <c r="A498" s="7">
        <v>493</v>
      </c>
      <c r="B498" s="7" t="s">
        <v>833</v>
      </c>
      <c r="C498" s="7" t="s">
        <v>38</v>
      </c>
      <c r="D498" s="8">
        <f>'CDC Source Data'!D67</f>
        <v>273909</v>
      </c>
      <c r="E498" s="8">
        <f>'CDC Source Data'!E67</f>
        <v>30</v>
      </c>
      <c r="F498" s="31">
        <f t="shared" si="7"/>
        <v>10.966232029421597</v>
      </c>
      <c r="G498" s="9">
        <f>'CDC Source Data'!F67</f>
        <v>0.09</v>
      </c>
      <c r="H498" s="7" t="str">
        <f>'CDC Source Data'!G67</f>
        <v>Completeness of provisional 2019 data under 90% after 6 months.</v>
      </c>
      <c r="I498" s="97">
        <v>14.3</v>
      </c>
      <c r="J498" s="97">
        <v>15</v>
      </c>
      <c r="K498" s="98">
        <v>44</v>
      </c>
      <c r="L498" s="98">
        <v>45</v>
      </c>
      <c r="M498" s="98">
        <v>50</v>
      </c>
      <c r="N498" s="98">
        <v>48</v>
      </c>
      <c r="O498" s="98">
        <v>50</v>
      </c>
      <c r="P498" s="98">
        <v>61</v>
      </c>
      <c r="Q498" s="98">
        <v>60</v>
      </c>
      <c r="R498" s="98">
        <v>54</v>
      </c>
      <c r="S498" s="98">
        <v>54</v>
      </c>
      <c r="T498" s="98">
        <v>59</v>
      </c>
      <c r="U498" s="98">
        <v>63</v>
      </c>
      <c r="V498" s="98">
        <v>67</v>
      </c>
      <c r="W498" s="98">
        <v>71</v>
      </c>
      <c r="X498" s="98">
        <v>70</v>
      </c>
      <c r="Y498" s="98">
        <v>69</v>
      </c>
      <c r="Z498" s="98">
        <v>76</v>
      </c>
      <c r="AA498" s="98">
        <v>61</v>
      </c>
      <c r="AB498" s="98">
        <v>47</v>
      </c>
      <c r="AC498" s="98">
        <v>32</v>
      </c>
      <c r="AD498" s="98">
        <v>27</v>
      </c>
      <c r="AE498" s="98">
        <v>29</v>
      </c>
      <c r="AF498" s="98">
        <v>30</v>
      </c>
      <c r="AG498" s="98">
        <v>30</v>
      </c>
    </row>
    <row r="499" spans="1:33" x14ac:dyDescent="0.3">
      <c r="A499" s="7">
        <v>494</v>
      </c>
      <c r="B499" s="7" t="s">
        <v>834</v>
      </c>
      <c r="C499" s="7" t="s">
        <v>463</v>
      </c>
      <c r="D499" s="8">
        <f>'CDC Source Data'!D318</f>
        <v>118942</v>
      </c>
      <c r="E499" s="8">
        <f>'CDC Source Data'!E318</f>
        <v>13</v>
      </c>
      <c r="F499" s="31">
        <f t="shared" si="7"/>
        <v>10.952542632772198</v>
      </c>
      <c r="G499" s="9">
        <f>'CDC Source Data'!F318</f>
        <v>0.54</v>
      </c>
      <c r="H499" s="7">
        <f>'CDC Source Data'!G318</f>
        <v>0</v>
      </c>
      <c r="I499" s="97">
        <v>10</v>
      </c>
      <c r="J499" s="97">
        <v>10.5</v>
      </c>
      <c r="K499" s="100"/>
      <c r="L499" s="100"/>
      <c r="M499" s="100"/>
      <c r="N499" s="100"/>
      <c r="O499" s="100"/>
      <c r="P499" s="100"/>
      <c r="Q499" s="100"/>
      <c r="R499" s="100"/>
      <c r="S499" s="100"/>
      <c r="T499" s="100"/>
      <c r="U499" s="100"/>
      <c r="V499" s="98">
        <v>10</v>
      </c>
      <c r="W499" s="98">
        <v>12</v>
      </c>
      <c r="X499" s="98">
        <v>14</v>
      </c>
      <c r="Y499" s="98">
        <v>13</v>
      </c>
      <c r="Z499" s="98">
        <v>14</v>
      </c>
      <c r="AA499" s="98">
        <v>18</v>
      </c>
      <c r="AB499" s="98">
        <v>17</v>
      </c>
      <c r="AC499" s="98">
        <v>13</v>
      </c>
      <c r="AD499" s="98">
        <v>16</v>
      </c>
      <c r="AE499" s="98">
        <v>11</v>
      </c>
      <c r="AF499" s="98">
        <v>13</v>
      </c>
      <c r="AG499" s="98">
        <v>13</v>
      </c>
    </row>
    <row r="500" spans="1:33" x14ac:dyDescent="0.3">
      <c r="A500" s="7">
        <v>495</v>
      </c>
      <c r="B500" s="7" t="s">
        <v>835</v>
      </c>
      <c r="C500" s="7" t="s">
        <v>230</v>
      </c>
      <c r="D500" s="8">
        <f>'CDC Source Data'!D56</f>
        <v>192154</v>
      </c>
      <c r="E500" s="8">
        <f>'CDC Source Data'!E56</f>
        <v>21</v>
      </c>
      <c r="F500" s="31">
        <f t="shared" si="7"/>
        <v>10.929696827024937</v>
      </c>
      <c r="G500" s="9">
        <f>'CDC Source Data'!F56</f>
        <v>7.0000000000000007E-2</v>
      </c>
      <c r="H500" s="7" t="str">
        <f>'CDC Source Data'!G56</f>
        <v>Completeness of provisional 2019 data under 90% after 6 months.</v>
      </c>
      <c r="I500" s="97">
        <v>17.2</v>
      </c>
      <c r="J500" s="97">
        <v>18</v>
      </c>
      <c r="K500" s="98">
        <v>32</v>
      </c>
      <c r="L500" s="98">
        <v>30</v>
      </c>
      <c r="M500" s="98">
        <v>35</v>
      </c>
      <c r="N500" s="98">
        <v>33</v>
      </c>
      <c r="O500" s="98">
        <v>35</v>
      </c>
      <c r="P500" s="98">
        <v>38</v>
      </c>
      <c r="Q500" s="98">
        <v>45</v>
      </c>
      <c r="R500" s="98">
        <v>52</v>
      </c>
      <c r="S500" s="98">
        <v>56</v>
      </c>
      <c r="T500" s="98">
        <v>61</v>
      </c>
      <c r="U500" s="98">
        <v>51</v>
      </c>
      <c r="V500" s="98">
        <v>54</v>
      </c>
      <c r="W500" s="98">
        <v>54</v>
      </c>
      <c r="X500" s="98">
        <v>51</v>
      </c>
      <c r="Y500" s="98">
        <v>55</v>
      </c>
      <c r="Z500" s="98">
        <v>48</v>
      </c>
      <c r="AA500" s="98">
        <v>47</v>
      </c>
      <c r="AB500" s="98">
        <v>44</v>
      </c>
      <c r="AC500" s="98">
        <v>34</v>
      </c>
      <c r="AD500" s="98">
        <v>28</v>
      </c>
      <c r="AE500" s="98">
        <v>21</v>
      </c>
      <c r="AF500" s="98">
        <v>20</v>
      </c>
      <c r="AG500" s="98">
        <v>21</v>
      </c>
    </row>
    <row r="501" spans="1:33" x14ac:dyDescent="0.3">
      <c r="A501" s="7">
        <v>496</v>
      </c>
      <c r="B501" s="7" t="s">
        <v>836</v>
      </c>
      <c r="C501" s="7" t="s">
        <v>469</v>
      </c>
      <c r="D501" s="8">
        <f>'CDC Source Data'!D102</f>
        <v>293513</v>
      </c>
      <c r="E501" s="8">
        <f>'CDC Source Data'!E102</f>
        <v>32</v>
      </c>
      <c r="F501" s="31">
        <f t="shared" si="7"/>
        <v>10.928734244408131</v>
      </c>
      <c r="G501" s="9">
        <f>'CDC Source Data'!F102</f>
        <v>0.24</v>
      </c>
      <c r="H501" s="7" t="str">
        <f>'CDC Source Data'!G102</f>
        <v>Completeness of provisional 2019 data under 90% after 6 months.</v>
      </c>
      <c r="I501" s="97">
        <v>17.7</v>
      </c>
      <c r="J501" s="97">
        <v>18.5</v>
      </c>
      <c r="K501" s="98">
        <v>37</v>
      </c>
      <c r="L501" s="98">
        <v>40</v>
      </c>
      <c r="M501" s="98">
        <v>51</v>
      </c>
      <c r="N501" s="98">
        <v>56</v>
      </c>
      <c r="O501" s="98">
        <v>54</v>
      </c>
      <c r="P501" s="98">
        <v>57</v>
      </c>
      <c r="Q501" s="98">
        <v>53</v>
      </c>
      <c r="R501" s="98">
        <v>56</v>
      </c>
      <c r="S501" s="98">
        <v>61</v>
      </c>
      <c r="T501" s="98">
        <v>59</v>
      </c>
      <c r="U501" s="98">
        <v>57</v>
      </c>
      <c r="V501" s="98">
        <v>56</v>
      </c>
      <c r="W501" s="98">
        <v>48</v>
      </c>
      <c r="X501" s="98">
        <v>44</v>
      </c>
      <c r="Y501" s="98">
        <v>45</v>
      </c>
      <c r="Z501" s="98">
        <v>47</v>
      </c>
      <c r="AA501" s="98">
        <v>48</v>
      </c>
      <c r="AB501" s="98">
        <v>47</v>
      </c>
      <c r="AC501" s="98">
        <v>48</v>
      </c>
      <c r="AD501" s="98">
        <v>43</v>
      </c>
      <c r="AE501" s="98">
        <v>42</v>
      </c>
      <c r="AF501" s="98">
        <v>40</v>
      </c>
      <c r="AG501" s="98">
        <v>32</v>
      </c>
    </row>
    <row r="502" spans="1:33" x14ac:dyDescent="0.3">
      <c r="A502" s="7">
        <v>497</v>
      </c>
      <c r="B502" s="7" t="s">
        <v>778</v>
      </c>
      <c r="C502" s="7" t="s">
        <v>41</v>
      </c>
      <c r="D502" s="8">
        <f>'CDC Source Data'!D580</f>
        <v>147936</v>
      </c>
      <c r="E502" s="8">
        <f>'CDC Source Data'!E580</f>
        <v>16</v>
      </c>
      <c r="F502" s="31">
        <f t="shared" si="7"/>
        <v>10.902413181017536</v>
      </c>
      <c r="G502" s="9">
        <f>'CDC Source Data'!F580</f>
        <v>0</v>
      </c>
      <c r="H502" s="7">
        <f>'CDC Source Data'!G580</f>
        <v>0</v>
      </c>
      <c r="I502" s="97">
        <v>16.3</v>
      </c>
      <c r="J502" s="97">
        <v>17</v>
      </c>
      <c r="K502" s="98">
        <v>25</v>
      </c>
      <c r="L502" s="98">
        <v>28</v>
      </c>
      <c r="M502" s="98">
        <v>28</v>
      </c>
      <c r="N502" s="98">
        <v>26</v>
      </c>
      <c r="O502" s="98">
        <v>28</v>
      </c>
      <c r="P502" s="98">
        <v>36</v>
      </c>
      <c r="Q502" s="98">
        <v>34</v>
      </c>
      <c r="R502" s="98">
        <v>38</v>
      </c>
      <c r="S502" s="98">
        <v>35</v>
      </c>
      <c r="T502" s="98">
        <v>27</v>
      </c>
      <c r="U502" s="98">
        <v>33</v>
      </c>
      <c r="V502" s="98">
        <v>32</v>
      </c>
      <c r="W502" s="98">
        <v>36</v>
      </c>
      <c r="X502" s="98">
        <v>35</v>
      </c>
      <c r="Y502" s="98">
        <v>30</v>
      </c>
      <c r="Z502" s="98">
        <v>31</v>
      </c>
      <c r="AA502" s="98">
        <v>28</v>
      </c>
      <c r="AB502" s="98">
        <v>27</v>
      </c>
      <c r="AC502" s="98">
        <v>23</v>
      </c>
      <c r="AD502" s="98">
        <v>19</v>
      </c>
      <c r="AE502" s="98">
        <v>16</v>
      </c>
      <c r="AF502" s="98">
        <v>14</v>
      </c>
      <c r="AG502" s="98">
        <v>16</v>
      </c>
    </row>
    <row r="503" spans="1:33" x14ac:dyDescent="0.3">
      <c r="A503" s="7">
        <v>498</v>
      </c>
      <c r="B503" s="7" t="s">
        <v>464</v>
      </c>
      <c r="C503" s="7" t="s">
        <v>38</v>
      </c>
      <c r="D503" s="8">
        <f>'CDC Source Data'!D587</f>
        <v>138727</v>
      </c>
      <c r="E503" s="8">
        <f>'CDC Source Data'!E587</f>
        <v>15</v>
      </c>
      <c r="F503" s="31">
        <f t="shared" si="7"/>
        <v>10.815487778498809</v>
      </c>
      <c r="G503" s="9">
        <f>'CDC Source Data'!F587</f>
        <v>0.14000000000000001</v>
      </c>
      <c r="H503" s="7" t="str">
        <f>'CDC Source Data'!G587</f>
        <v>Completeness of provisional 2019 data under 90% after 6 months.</v>
      </c>
      <c r="I503" s="97">
        <v>15.9</v>
      </c>
      <c r="J503" s="97">
        <v>16.600000000000001</v>
      </c>
      <c r="K503" s="98">
        <v>20</v>
      </c>
      <c r="L503" s="98">
        <v>24</v>
      </c>
      <c r="M503" s="98">
        <v>28</v>
      </c>
      <c r="N503" s="98">
        <v>31</v>
      </c>
      <c r="O503" s="98">
        <v>38</v>
      </c>
      <c r="P503" s="98">
        <v>35</v>
      </c>
      <c r="Q503" s="98">
        <v>32</v>
      </c>
      <c r="R503" s="98">
        <v>31</v>
      </c>
      <c r="S503" s="98">
        <v>32</v>
      </c>
      <c r="T503" s="98">
        <v>34</v>
      </c>
      <c r="U503" s="98">
        <v>35</v>
      </c>
      <c r="V503" s="98">
        <v>33</v>
      </c>
      <c r="W503" s="98">
        <v>32</v>
      </c>
      <c r="X503" s="98">
        <v>29</v>
      </c>
      <c r="Y503" s="98">
        <v>25</v>
      </c>
      <c r="Z503" s="98">
        <v>29</v>
      </c>
      <c r="AA503" s="98">
        <v>20</v>
      </c>
      <c r="AB503" s="98">
        <v>23</v>
      </c>
      <c r="AC503" s="98">
        <v>28</v>
      </c>
      <c r="AD503" s="98">
        <v>28</v>
      </c>
      <c r="AE503" s="98">
        <v>29</v>
      </c>
      <c r="AF503" s="98">
        <v>20</v>
      </c>
      <c r="AG503" s="98">
        <v>15</v>
      </c>
    </row>
    <row r="504" spans="1:33" x14ac:dyDescent="0.3">
      <c r="A504" s="7">
        <v>499</v>
      </c>
      <c r="B504" s="7" t="s">
        <v>837</v>
      </c>
      <c r="C504" s="7" t="s">
        <v>50</v>
      </c>
      <c r="D504" s="8">
        <f>'CDC Source Data'!D528</f>
        <v>334928</v>
      </c>
      <c r="E504" s="8">
        <f>'CDC Source Data'!E528</f>
        <v>36</v>
      </c>
      <c r="F504" s="31">
        <f t="shared" si="7"/>
        <v>10.812603170255249</v>
      </c>
      <c r="G504" s="9">
        <f>'CDC Source Data'!F528</f>
        <v>0</v>
      </c>
      <c r="H504" s="7">
        <f>'CDC Source Data'!G528</f>
        <v>0</v>
      </c>
      <c r="I504" s="97">
        <v>14</v>
      </c>
      <c r="J504" s="97">
        <v>14.6</v>
      </c>
      <c r="K504" s="98">
        <v>33</v>
      </c>
      <c r="L504" s="98">
        <v>44</v>
      </c>
      <c r="M504" s="98">
        <v>49</v>
      </c>
      <c r="N504" s="98">
        <v>54</v>
      </c>
      <c r="O504" s="98">
        <v>58</v>
      </c>
      <c r="P504" s="98">
        <v>61</v>
      </c>
      <c r="Q504" s="98">
        <v>56</v>
      </c>
      <c r="R504" s="98">
        <v>50</v>
      </c>
      <c r="S504" s="98">
        <v>47</v>
      </c>
      <c r="T504" s="98">
        <v>42</v>
      </c>
      <c r="U504" s="98">
        <v>51</v>
      </c>
      <c r="V504" s="98">
        <v>63</v>
      </c>
      <c r="W504" s="98">
        <v>66</v>
      </c>
      <c r="X504" s="98">
        <v>69</v>
      </c>
      <c r="Y504" s="98">
        <v>63</v>
      </c>
      <c r="Z504" s="98">
        <v>54</v>
      </c>
      <c r="AA504" s="98">
        <v>59</v>
      </c>
      <c r="AB504" s="98">
        <v>58</v>
      </c>
      <c r="AC504" s="98">
        <v>59</v>
      </c>
      <c r="AD504" s="98">
        <v>57</v>
      </c>
      <c r="AE504" s="98">
        <v>46</v>
      </c>
      <c r="AF504" s="98">
        <v>43</v>
      </c>
      <c r="AG504" s="98">
        <v>36</v>
      </c>
    </row>
    <row r="505" spans="1:33" x14ac:dyDescent="0.3">
      <c r="A505" s="7">
        <v>500</v>
      </c>
      <c r="B505" s="7" t="s">
        <v>838</v>
      </c>
      <c r="C505" s="7" t="s">
        <v>469</v>
      </c>
      <c r="D505" s="8">
        <f>'CDC Source Data'!D130</f>
        <v>158233</v>
      </c>
      <c r="E505" s="8">
        <f>'CDC Source Data'!E130</f>
        <v>17</v>
      </c>
      <c r="F505" s="31">
        <f t="shared" si="7"/>
        <v>10.748578799025463</v>
      </c>
      <c r="G505" s="9">
        <f>'CDC Source Data'!F130</f>
        <v>0.15</v>
      </c>
      <c r="H505" s="7">
        <f>'CDC Source Data'!G130</f>
        <v>0</v>
      </c>
      <c r="I505" s="97">
        <v>14.6</v>
      </c>
      <c r="J505" s="97">
        <v>15.3</v>
      </c>
      <c r="K505" s="98">
        <v>18</v>
      </c>
      <c r="L505" s="98">
        <v>16</v>
      </c>
      <c r="M505" s="98">
        <v>19</v>
      </c>
      <c r="N505" s="98">
        <v>21</v>
      </c>
      <c r="O505" s="98">
        <v>22</v>
      </c>
      <c r="P505" s="98">
        <v>28</v>
      </c>
      <c r="Q505" s="98">
        <v>33</v>
      </c>
      <c r="R505" s="98">
        <v>32</v>
      </c>
      <c r="S505" s="98">
        <v>30</v>
      </c>
      <c r="T505" s="98">
        <v>29</v>
      </c>
      <c r="U505" s="98">
        <v>28</v>
      </c>
      <c r="V505" s="98">
        <v>28</v>
      </c>
      <c r="W505" s="98">
        <v>31</v>
      </c>
      <c r="X505" s="98">
        <v>27</v>
      </c>
      <c r="Y505" s="98">
        <v>24</v>
      </c>
      <c r="Z505" s="98">
        <v>21</v>
      </c>
      <c r="AA505" s="98">
        <v>13</v>
      </c>
      <c r="AB505" s="98">
        <v>16</v>
      </c>
      <c r="AC505" s="98">
        <v>15</v>
      </c>
      <c r="AD505" s="98">
        <v>17</v>
      </c>
      <c r="AE505" s="98">
        <v>20</v>
      </c>
      <c r="AF505" s="98">
        <v>15</v>
      </c>
      <c r="AG505" s="98">
        <v>17</v>
      </c>
    </row>
    <row r="506" spans="1:33" x14ac:dyDescent="0.3">
      <c r="A506" s="7">
        <v>501</v>
      </c>
      <c r="B506" s="7" t="s">
        <v>839</v>
      </c>
      <c r="C506" s="7" t="s">
        <v>604</v>
      </c>
      <c r="D506" s="8">
        <f>'CDC Source Data'!D355</f>
        <v>270358</v>
      </c>
      <c r="E506" s="8">
        <f>'CDC Source Data'!E355</f>
        <v>29</v>
      </c>
      <c r="F506" s="31">
        <f t="shared" si="7"/>
        <v>10.743650186749919</v>
      </c>
      <c r="G506" s="9">
        <f>'CDC Source Data'!F355</f>
        <v>0.09</v>
      </c>
      <c r="H506" s="7" t="str">
        <f>'CDC Source Data'!G355</f>
        <v>Completeness of provisional 2019 data under 90% after 6 months.</v>
      </c>
      <c r="I506" s="97">
        <v>10.4</v>
      </c>
      <c r="J506" s="97">
        <v>10.8</v>
      </c>
      <c r="K506" s="98">
        <v>27</v>
      </c>
      <c r="L506" s="98">
        <v>31</v>
      </c>
      <c r="M506" s="98">
        <v>31</v>
      </c>
      <c r="N506" s="98">
        <v>35</v>
      </c>
      <c r="O506" s="98">
        <v>32</v>
      </c>
      <c r="P506" s="98">
        <v>27</v>
      </c>
      <c r="Q506" s="98">
        <v>31</v>
      </c>
      <c r="R506" s="98">
        <v>31</v>
      </c>
      <c r="S506" s="98">
        <v>35</v>
      </c>
      <c r="T506" s="98">
        <v>38</v>
      </c>
      <c r="U506" s="98">
        <v>34</v>
      </c>
      <c r="V506" s="98">
        <v>28</v>
      </c>
      <c r="W506" s="98">
        <v>27</v>
      </c>
      <c r="X506" s="98">
        <v>31</v>
      </c>
      <c r="Y506" s="98">
        <v>33</v>
      </c>
      <c r="Z506" s="98">
        <v>33</v>
      </c>
      <c r="AA506" s="98">
        <v>39</v>
      </c>
      <c r="AB506" s="98">
        <v>37</v>
      </c>
      <c r="AC506" s="98">
        <v>34</v>
      </c>
      <c r="AD506" s="98">
        <v>42</v>
      </c>
      <c r="AE506" s="98">
        <v>33</v>
      </c>
      <c r="AF506" s="98">
        <v>30</v>
      </c>
      <c r="AG506" s="98">
        <v>29</v>
      </c>
    </row>
    <row r="507" spans="1:33" x14ac:dyDescent="0.3">
      <c r="A507" s="7">
        <v>502</v>
      </c>
      <c r="B507" s="7" t="s">
        <v>504</v>
      </c>
      <c r="C507" s="7" t="s">
        <v>19</v>
      </c>
      <c r="D507" s="8">
        <f>'CDC Source Data'!D200</f>
        <v>159285</v>
      </c>
      <c r="E507" s="8">
        <f>'CDC Source Data'!E200</f>
        <v>17</v>
      </c>
      <c r="F507" s="31">
        <f t="shared" si="7"/>
        <v>10.726518172201303</v>
      </c>
      <c r="G507" s="9">
        <f>'CDC Source Data'!F200</f>
        <v>0.11</v>
      </c>
      <c r="H507" s="7" t="str">
        <f>'CDC Source Data'!G200</f>
        <v>Completeness of provisional 2019 data under 90% after 6 months.</v>
      </c>
      <c r="I507" s="97">
        <v>15.9</v>
      </c>
      <c r="J507" s="97">
        <v>16.600000000000001</v>
      </c>
      <c r="K507" s="98">
        <v>16</v>
      </c>
      <c r="L507" s="98">
        <v>24</v>
      </c>
      <c r="M507" s="98">
        <v>26</v>
      </c>
      <c r="N507" s="98">
        <v>26</v>
      </c>
      <c r="O507" s="98">
        <v>31</v>
      </c>
      <c r="P507" s="98">
        <v>27</v>
      </c>
      <c r="Q507" s="98">
        <v>28</v>
      </c>
      <c r="R507" s="98">
        <v>36</v>
      </c>
      <c r="S507" s="98">
        <v>26</v>
      </c>
      <c r="T507" s="98">
        <v>25</v>
      </c>
      <c r="U507" s="98">
        <v>30</v>
      </c>
      <c r="V507" s="98">
        <v>25</v>
      </c>
      <c r="W507" s="98">
        <v>33</v>
      </c>
      <c r="X507" s="98">
        <v>34</v>
      </c>
      <c r="Y507" s="98">
        <v>32</v>
      </c>
      <c r="Z507" s="98">
        <v>31</v>
      </c>
      <c r="AA507" s="98">
        <v>26</v>
      </c>
      <c r="AB507" s="98">
        <v>22</v>
      </c>
      <c r="AC507" s="98">
        <v>19</v>
      </c>
      <c r="AD507" s="98">
        <v>19</v>
      </c>
      <c r="AE507" s="98">
        <v>18</v>
      </c>
      <c r="AF507" s="98">
        <v>19</v>
      </c>
      <c r="AG507" s="98">
        <v>17</v>
      </c>
    </row>
    <row r="508" spans="1:33" x14ac:dyDescent="0.3">
      <c r="A508" s="7">
        <v>503</v>
      </c>
      <c r="B508" s="7" t="s">
        <v>840</v>
      </c>
      <c r="C508" s="7" t="s">
        <v>19</v>
      </c>
      <c r="D508" s="8">
        <f>'CDC Source Data'!D331</f>
        <v>113236</v>
      </c>
      <c r="E508" s="8">
        <f>'CDC Source Data'!E331</f>
        <v>12</v>
      </c>
      <c r="F508" s="31">
        <f t="shared" si="7"/>
        <v>10.672693599522868</v>
      </c>
      <c r="G508" s="9">
        <f>'CDC Source Data'!F331</f>
        <v>0</v>
      </c>
      <c r="H508" s="7" t="str">
        <f>'CDC Source Data'!G331</f>
        <v>Completeness of provisional 2019 data under 90% after 6 months.</v>
      </c>
      <c r="I508" s="97">
        <v>19.100000000000001</v>
      </c>
      <c r="J508" s="97">
        <v>20</v>
      </c>
      <c r="K508" s="98">
        <v>43</v>
      </c>
      <c r="L508" s="98">
        <v>47</v>
      </c>
      <c r="M508" s="98">
        <v>46</v>
      </c>
      <c r="N508" s="98">
        <v>40</v>
      </c>
      <c r="O508" s="98">
        <v>33</v>
      </c>
      <c r="P508" s="98">
        <v>27</v>
      </c>
      <c r="Q508" s="98">
        <v>26</v>
      </c>
      <c r="R508" s="98">
        <v>26</v>
      </c>
      <c r="S508" s="98">
        <v>27</v>
      </c>
      <c r="T508" s="98">
        <v>23</v>
      </c>
      <c r="U508" s="98">
        <v>27</v>
      </c>
      <c r="V508" s="98">
        <v>28</v>
      </c>
      <c r="W508" s="98">
        <v>30</v>
      </c>
      <c r="X508" s="98">
        <v>35</v>
      </c>
      <c r="Y508" s="98">
        <v>29</v>
      </c>
      <c r="Z508" s="98">
        <v>31</v>
      </c>
      <c r="AA508" s="98">
        <v>30</v>
      </c>
      <c r="AB508" s="98">
        <v>24</v>
      </c>
      <c r="AC508" s="98">
        <v>20</v>
      </c>
      <c r="AD508" s="98">
        <v>12</v>
      </c>
      <c r="AE508" s="98"/>
      <c r="AF508" s="98"/>
      <c r="AG508" s="98">
        <v>12</v>
      </c>
    </row>
    <row r="509" spans="1:33" x14ac:dyDescent="0.3">
      <c r="A509" s="7">
        <v>504</v>
      </c>
      <c r="B509" s="7" t="s">
        <v>841</v>
      </c>
      <c r="C509" s="7" t="s">
        <v>262</v>
      </c>
      <c r="D509" s="8">
        <f>'CDC Source Data'!D607</f>
        <v>708583</v>
      </c>
      <c r="E509" s="8">
        <f>'CDC Source Data'!E607</f>
        <v>75</v>
      </c>
      <c r="F509" s="31">
        <f t="shared" si="7"/>
        <v>10.59733653608393</v>
      </c>
      <c r="G509" s="9">
        <f>'CDC Source Data'!F607</f>
        <v>0.02</v>
      </c>
      <c r="H509" s="7">
        <f>'CDC Source Data'!G607</f>
        <v>0</v>
      </c>
      <c r="I509" s="97">
        <v>17.399999999999999</v>
      </c>
      <c r="J509" s="97">
        <v>18.2</v>
      </c>
      <c r="K509" s="98">
        <v>141</v>
      </c>
      <c r="L509" s="98">
        <v>144</v>
      </c>
      <c r="M509" s="98">
        <v>140</v>
      </c>
      <c r="N509" s="98">
        <v>136</v>
      </c>
      <c r="O509" s="98">
        <v>133</v>
      </c>
      <c r="P509" s="98">
        <v>151</v>
      </c>
      <c r="Q509" s="98">
        <v>149</v>
      </c>
      <c r="R509" s="98">
        <v>158</v>
      </c>
      <c r="S509" s="98">
        <v>172</v>
      </c>
      <c r="T509" s="98">
        <v>176</v>
      </c>
      <c r="U509" s="98">
        <v>165</v>
      </c>
      <c r="V509" s="98">
        <v>168</v>
      </c>
      <c r="W509" s="98">
        <v>156</v>
      </c>
      <c r="X509" s="98">
        <v>151</v>
      </c>
      <c r="Y509" s="98">
        <v>161</v>
      </c>
      <c r="Z509" s="98">
        <v>143</v>
      </c>
      <c r="AA509" s="98">
        <v>140</v>
      </c>
      <c r="AB509" s="98">
        <v>118</v>
      </c>
      <c r="AC509" s="98">
        <v>103</v>
      </c>
      <c r="AD509" s="98">
        <v>100</v>
      </c>
      <c r="AE509" s="98">
        <v>88</v>
      </c>
      <c r="AF509" s="98">
        <v>79</v>
      </c>
      <c r="AG509" s="98">
        <v>75</v>
      </c>
    </row>
    <row r="510" spans="1:33" x14ac:dyDescent="0.3">
      <c r="A510" s="7">
        <v>505</v>
      </c>
      <c r="B510" s="7" t="s">
        <v>806</v>
      </c>
      <c r="C510" s="7" t="s">
        <v>237</v>
      </c>
      <c r="D510" s="8">
        <f>'CDC Source Data'!D365</f>
        <v>890119</v>
      </c>
      <c r="E510" s="8">
        <f>'CDC Source Data'!E365</f>
        <v>94</v>
      </c>
      <c r="F510" s="31">
        <f t="shared" si="7"/>
        <v>10.584504567566537</v>
      </c>
      <c r="G510" s="9">
        <f>'CDC Source Data'!F365</f>
        <v>0.08</v>
      </c>
      <c r="H510" s="7">
        <f>'CDC Source Data'!G365</f>
        <v>0</v>
      </c>
      <c r="I510" s="97">
        <v>17.8</v>
      </c>
      <c r="J510" s="97">
        <v>18.5</v>
      </c>
      <c r="K510" s="98">
        <v>233</v>
      </c>
      <c r="L510" s="98">
        <v>235</v>
      </c>
      <c r="M510" s="98">
        <v>247</v>
      </c>
      <c r="N510" s="98">
        <v>213</v>
      </c>
      <c r="O510" s="98">
        <v>224</v>
      </c>
      <c r="P510" s="98">
        <v>232</v>
      </c>
      <c r="Q510" s="98">
        <v>229</v>
      </c>
      <c r="R510" s="98">
        <v>257</v>
      </c>
      <c r="S510" s="98">
        <v>243</v>
      </c>
      <c r="T510" s="98">
        <v>243</v>
      </c>
      <c r="U510" s="98">
        <v>229</v>
      </c>
      <c r="V510" s="98">
        <v>214</v>
      </c>
      <c r="W510" s="98">
        <v>197</v>
      </c>
      <c r="X510" s="98">
        <v>195</v>
      </c>
      <c r="Y510" s="98">
        <v>201</v>
      </c>
      <c r="Z510" s="98">
        <v>195</v>
      </c>
      <c r="AA510" s="98">
        <v>200</v>
      </c>
      <c r="AB510" s="98">
        <v>186</v>
      </c>
      <c r="AC510" s="98">
        <v>155</v>
      </c>
      <c r="AD510" s="98">
        <v>130</v>
      </c>
      <c r="AE510" s="98">
        <v>104</v>
      </c>
      <c r="AF510" s="98">
        <v>94</v>
      </c>
      <c r="AG510" s="98">
        <v>94</v>
      </c>
    </row>
    <row r="511" spans="1:33" x14ac:dyDescent="0.3">
      <c r="A511" s="7">
        <v>506</v>
      </c>
      <c r="B511" s="7" t="s">
        <v>842</v>
      </c>
      <c r="C511" s="7" t="s">
        <v>38</v>
      </c>
      <c r="D511" s="8">
        <f>'CDC Source Data'!D194</f>
        <v>104269</v>
      </c>
      <c r="E511" s="8">
        <f>'CDC Source Data'!E194</f>
        <v>11</v>
      </c>
      <c r="F511" s="31">
        <f t="shared" si="7"/>
        <v>10.560385746175511</v>
      </c>
      <c r="G511" s="9">
        <f>'CDC Source Data'!F194</f>
        <v>0.19</v>
      </c>
      <c r="H511" s="7">
        <f>'CDC Source Data'!G194</f>
        <v>0</v>
      </c>
      <c r="I511" s="97">
        <v>15</v>
      </c>
      <c r="J511" s="97">
        <v>15.7</v>
      </c>
      <c r="K511" s="98">
        <v>17</v>
      </c>
      <c r="L511" s="98">
        <v>20</v>
      </c>
      <c r="M511" s="98">
        <v>23</v>
      </c>
      <c r="N511" s="98">
        <v>27</v>
      </c>
      <c r="O511" s="98">
        <v>28</v>
      </c>
      <c r="P511" s="98">
        <v>22</v>
      </c>
      <c r="Q511" s="98">
        <v>22</v>
      </c>
      <c r="R511" s="98">
        <v>22</v>
      </c>
      <c r="S511" s="98">
        <v>26</v>
      </c>
      <c r="T511" s="98">
        <v>28</v>
      </c>
      <c r="U511" s="98">
        <v>28</v>
      </c>
      <c r="V511" s="98">
        <v>28</v>
      </c>
      <c r="W511" s="98">
        <v>25</v>
      </c>
      <c r="X511" s="98">
        <v>35</v>
      </c>
      <c r="Y511" s="98">
        <v>34</v>
      </c>
      <c r="Z511" s="98">
        <v>32</v>
      </c>
      <c r="AA511" s="98">
        <v>30</v>
      </c>
      <c r="AB511" s="98">
        <v>15</v>
      </c>
      <c r="AC511" s="100"/>
      <c r="AD511" s="98"/>
      <c r="AE511" s="98">
        <v>10</v>
      </c>
      <c r="AF511" s="98">
        <v>10</v>
      </c>
      <c r="AG511" s="98">
        <v>11</v>
      </c>
    </row>
    <row r="512" spans="1:33" x14ac:dyDescent="0.3">
      <c r="A512" s="7">
        <v>507</v>
      </c>
      <c r="B512" s="7" t="s">
        <v>260</v>
      </c>
      <c r="C512" s="7" t="s">
        <v>257</v>
      </c>
      <c r="D512" s="8">
        <f>'CDC Source Data'!D335</f>
        <v>114247</v>
      </c>
      <c r="E512" s="8">
        <f>'CDC Source Data'!E335</f>
        <v>12</v>
      </c>
      <c r="F512" s="31">
        <f t="shared" si="7"/>
        <v>10.549636037556704</v>
      </c>
      <c r="G512" s="9">
        <f>'CDC Source Data'!F335</f>
        <v>0</v>
      </c>
      <c r="H512" s="7">
        <f>'CDC Source Data'!G335</f>
        <v>0</v>
      </c>
      <c r="I512" s="97">
        <v>8.9</v>
      </c>
      <c r="J512" s="97">
        <v>9.3000000000000007</v>
      </c>
      <c r="K512" s="100"/>
      <c r="L512" s="100"/>
      <c r="M512" s="98">
        <v>10</v>
      </c>
      <c r="N512" s="100"/>
      <c r="O512" s="98">
        <v>13</v>
      </c>
      <c r="P512" s="98">
        <v>16</v>
      </c>
      <c r="Q512" s="98">
        <v>20</v>
      </c>
      <c r="R512" s="98">
        <v>21</v>
      </c>
      <c r="S512" s="98">
        <v>18</v>
      </c>
      <c r="T512" s="98">
        <v>21</v>
      </c>
      <c r="U512" s="98">
        <v>19</v>
      </c>
      <c r="V512" s="98">
        <v>16</v>
      </c>
      <c r="W512" s="98">
        <v>21</v>
      </c>
      <c r="X512" s="98">
        <v>19</v>
      </c>
      <c r="Y512" s="98">
        <v>16</v>
      </c>
      <c r="Z512" s="98">
        <v>19</v>
      </c>
      <c r="AA512" s="98">
        <v>12</v>
      </c>
      <c r="AB512" s="98">
        <v>12</v>
      </c>
      <c r="AC512" s="98">
        <v>13</v>
      </c>
      <c r="AD512" s="98">
        <v>14</v>
      </c>
      <c r="AE512" s="98">
        <v>15</v>
      </c>
      <c r="AF512" s="98">
        <v>12</v>
      </c>
      <c r="AG512" s="98">
        <v>12</v>
      </c>
    </row>
    <row r="513" spans="1:33" x14ac:dyDescent="0.3">
      <c r="A513" s="7">
        <v>508</v>
      </c>
      <c r="B513" s="7" t="s">
        <v>843</v>
      </c>
      <c r="C513" s="7" t="s">
        <v>35</v>
      </c>
      <c r="D513" s="8">
        <f>'CDC Source Data'!D236</f>
        <v>190629</v>
      </c>
      <c r="E513" s="8">
        <f>'CDC Source Data'!E236</f>
        <v>20</v>
      </c>
      <c r="F513" s="31">
        <f t="shared" si="7"/>
        <v>10.503558080299701</v>
      </c>
      <c r="G513" s="9">
        <f>'CDC Source Data'!F236</f>
        <v>0</v>
      </c>
      <c r="H513" s="7" t="str">
        <f>'CDC Source Data'!G236</f>
        <v>Completeness of provisional 2019 data under 90% after 6 months.</v>
      </c>
      <c r="I513" s="97">
        <v>17.5</v>
      </c>
      <c r="J513" s="97">
        <v>18.2</v>
      </c>
      <c r="K513" s="98">
        <v>38</v>
      </c>
      <c r="L513" s="98">
        <v>43</v>
      </c>
      <c r="M513" s="98">
        <v>48</v>
      </c>
      <c r="N513" s="98">
        <v>52</v>
      </c>
      <c r="O513" s="98">
        <v>45</v>
      </c>
      <c r="P513" s="98">
        <v>51</v>
      </c>
      <c r="Q513" s="98">
        <v>50</v>
      </c>
      <c r="R513" s="98">
        <v>48</v>
      </c>
      <c r="S513" s="98">
        <v>51</v>
      </c>
      <c r="T513" s="98">
        <v>41</v>
      </c>
      <c r="U513" s="98">
        <v>41</v>
      </c>
      <c r="V513" s="98">
        <v>37</v>
      </c>
      <c r="W513" s="98">
        <v>37</v>
      </c>
      <c r="X513" s="98">
        <v>38</v>
      </c>
      <c r="Y513" s="98">
        <v>31</v>
      </c>
      <c r="Z513" s="98">
        <v>32</v>
      </c>
      <c r="AA513" s="98">
        <v>22</v>
      </c>
      <c r="AB513" s="98">
        <v>17</v>
      </c>
      <c r="AC513" s="98">
        <v>21</v>
      </c>
      <c r="AD513" s="98">
        <v>17</v>
      </c>
      <c r="AE513" s="98">
        <v>20</v>
      </c>
      <c r="AF513" s="98">
        <v>21</v>
      </c>
      <c r="AG513" s="98">
        <v>20</v>
      </c>
    </row>
    <row r="514" spans="1:33" x14ac:dyDescent="0.3">
      <c r="A514" s="7">
        <v>509</v>
      </c>
      <c r="B514" s="7" t="s">
        <v>844</v>
      </c>
      <c r="C514" s="7" t="s">
        <v>35</v>
      </c>
      <c r="D514" s="8">
        <f>'CDC Source Data'!D559</f>
        <v>191650</v>
      </c>
      <c r="E514" s="8">
        <f>'CDC Source Data'!E559</f>
        <v>20</v>
      </c>
      <c r="F514" s="31">
        <f t="shared" si="7"/>
        <v>10.491583127436014</v>
      </c>
      <c r="G514" s="9">
        <f>'CDC Source Data'!F559</f>
        <v>0</v>
      </c>
      <c r="H514" s="7">
        <f>'CDC Source Data'!G559</f>
        <v>0</v>
      </c>
      <c r="I514" s="97">
        <v>18.2</v>
      </c>
      <c r="J514" s="97">
        <v>19</v>
      </c>
      <c r="K514" s="98">
        <v>38</v>
      </c>
      <c r="L514" s="98">
        <v>36</v>
      </c>
      <c r="M514" s="98">
        <v>40</v>
      </c>
      <c r="N514" s="98">
        <v>34</v>
      </c>
      <c r="O514" s="98">
        <v>38</v>
      </c>
      <c r="P514" s="98">
        <v>47</v>
      </c>
      <c r="Q514" s="98">
        <v>46</v>
      </c>
      <c r="R514" s="98">
        <v>44</v>
      </c>
      <c r="S514" s="98">
        <v>50</v>
      </c>
      <c r="T514" s="98">
        <v>48</v>
      </c>
      <c r="U514" s="98">
        <v>51</v>
      </c>
      <c r="V514" s="98">
        <v>52</v>
      </c>
      <c r="W514" s="98">
        <v>44</v>
      </c>
      <c r="X514" s="98">
        <v>47</v>
      </c>
      <c r="Y514" s="98">
        <v>41</v>
      </c>
      <c r="Z514" s="98">
        <v>42</v>
      </c>
      <c r="AA514" s="98">
        <v>51</v>
      </c>
      <c r="AB514" s="98">
        <v>42</v>
      </c>
      <c r="AC514" s="98">
        <v>43</v>
      </c>
      <c r="AD514" s="98">
        <v>37</v>
      </c>
      <c r="AE514" s="98">
        <v>26</v>
      </c>
      <c r="AF514" s="98">
        <v>23</v>
      </c>
      <c r="AG514" s="98">
        <v>20</v>
      </c>
    </row>
    <row r="515" spans="1:33" x14ac:dyDescent="0.3">
      <c r="A515" s="7">
        <v>510</v>
      </c>
      <c r="B515" s="7" t="s">
        <v>845</v>
      </c>
      <c r="C515" s="7" t="s">
        <v>467</v>
      </c>
      <c r="D515" s="8">
        <f>'CDC Source Data'!D275</f>
        <v>249794</v>
      </c>
      <c r="E515" s="8">
        <f>'CDC Source Data'!E275</f>
        <v>26</v>
      </c>
      <c r="F515" s="31">
        <f t="shared" si="7"/>
        <v>10.435690060005218</v>
      </c>
      <c r="G515" s="9">
        <f>'CDC Source Data'!F275</f>
        <v>1.55</v>
      </c>
      <c r="H515" s="7" t="str">
        <f>'CDC Source Data'!G275</f>
        <v>Completeness of provisional 2019 data under 90% after 6 months.</v>
      </c>
      <c r="I515" s="97">
        <v>16.899999999999999</v>
      </c>
      <c r="J515" s="97">
        <v>17.600000000000001</v>
      </c>
      <c r="K515" s="98">
        <v>40</v>
      </c>
      <c r="L515" s="98">
        <v>42</v>
      </c>
      <c r="M515" s="98">
        <v>42</v>
      </c>
      <c r="N515" s="98">
        <v>46</v>
      </c>
      <c r="O515" s="98">
        <v>51</v>
      </c>
      <c r="P515" s="98">
        <v>50</v>
      </c>
      <c r="Q515" s="98">
        <v>59</v>
      </c>
      <c r="R515" s="98">
        <v>74</v>
      </c>
      <c r="S515" s="98">
        <v>74</v>
      </c>
      <c r="T515" s="98">
        <v>88</v>
      </c>
      <c r="U515" s="98">
        <v>82</v>
      </c>
      <c r="V515" s="98">
        <v>69</v>
      </c>
      <c r="W515" s="98">
        <v>74</v>
      </c>
      <c r="X515" s="98">
        <v>67</v>
      </c>
      <c r="Y515" s="98">
        <v>66</v>
      </c>
      <c r="Z515" s="98">
        <v>60</v>
      </c>
      <c r="AA515" s="98">
        <v>52</v>
      </c>
      <c r="AB515" s="98">
        <v>43</v>
      </c>
      <c r="AC515" s="98">
        <v>36</v>
      </c>
      <c r="AD515" s="98">
        <v>38</v>
      </c>
      <c r="AE515" s="98">
        <v>32</v>
      </c>
      <c r="AF515" s="98">
        <v>29</v>
      </c>
      <c r="AG515" s="98">
        <v>26</v>
      </c>
    </row>
    <row r="516" spans="1:33" x14ac:dyDescent="0.3">
      <c r="A516" s="7">
        <v>511</v>
      </c>
      <c r="B516" s="7" t="s">
        <v>846</v>
      </c>
      <c r="C516" s="7" t="s">
        <v>38</v>
      </c>
      <c r="D516" s="8">
        <f>'CDC Source Data'!D578</f>
        <v>106029</v>
      </c>
      <c r="E516" s="8">
        <f>'CDC Source Data'!E578</f>
        <v>11</v>
      </c>
      <c r="F516" s="31">
        <f t="shared" si="7"/>
        <v>10.408576667173751</v>
      </c>
      <c r="G516" s="9">
        <f>'CDC Source Data'!F578</f>
        <v>0</v>
      </c>
      <c r="H516" s="7" t="str">
        <f>'CDC Source Data'!G578</f>
        <v>Completeness of provisional 2019 data under 90% after 6 months.</v>
      </c>
      <c r="I516" s="97">
        <v>19</v>
      </c>
      <c r="J516" s="97">
        <v>19.8</v>
      </c>
      <c r="K516" s="98">
        <v>25</v>
      </c>
      <c r="L516" s="98">
        <v>22</v>
      </c>
      <c r="M516" s="98">
        <v>21</v>
      </c>
      <c r="N516" s="98">
        <v>25</v>
      </c>
      <c r="O516" s="98">
        <v>26</v>
      </c>
      <c r="P516" s="98">
        <v>27</v>
      </c>
      <c r="Q516" s="98">
        <v>29</v>
      </c>
      <c r="R516" s="98">
        <v>26</v>
      </c>
      <c r="S516" s="98">
        <v>30</v>
      </c>
      <c r="T516" s="98">
        <v>29</v>
      </c>
      <c r="U516" s="98">
        <v>19</v>
      </c>
      <c r="V516" s="98">
        <v>19</v>
      </c>
      <c r="W516" s="98">
        <v>14</v>
      </c>
      <c r="X516" s="98">
        <v>12</v>
      </c>
      <c r="Y516" s="98">
        <v>17</v>
      </c>
      <c r="Z516" s="98">
        <v>16</v>
      </c>
      <c r="AA516" s="98">
        <v>14</v>
      </c>
      <c r="AB516" s="98">
        <v>13</v>
      </c>
      <c r="AC516" s="100"/>
      <c r="AD516" s="98"/>
      <c r="AE516" s="98"/>
      <c r="AF516" s="98"/>
      <c r="AG516" s="98">
        <v>11</v>
      </c>
    </row>
    <row r="517" spans="1:33" x14ac:dyDescent="0.3">
      <c r="A517" s="7">
        <v>512</v>
      </c>
      <c r="B517" s="7" t="s">
        <v>847</v>
      </c>
      <c r="C517" s="7" t="s">
        <v>50</v>
      </c>
      <c r="D517" s="8">
        <f>'CDC Source Data'!D123</f>
        <v>416233</v>
      </c>
      <c r="E517" s="8">
        <f>'CDC Source Data'!E123</f>
        <v>43</v>
      </c>
      <c r="F517" s="31">
        <f t="shared" si="7"/>
        <v>10.374520178441747</v>
      </c>
      <c r="G517" s="9">
        <f>'CDC Source Data'!F123</f>
        <v>0.1</v>
      </c>
      <c r="H517" s="7" t="str">
        <f>'CDC Source Data'!G123</f>
        <v>Completeness of provisional 2019 data under 90% after 6 months.</v>
      </c>
      <c r="I517" s="97">
        <v>20.5</v>
      </c>
      <c r="J517" s="97">
        <v>21.4</v>
      </c>
      <c r="K517" s="98">
        <v>83</v>
      </c>
      <c r="L517" s="98">
        <v>92</v>
      </c>
      <c r="M517" s="98">
        <v>95</v>
      </c>
      <c r="N517" s="98">
        <v>95</v>
      </c>
      <c r="O517" s="98">
        <v>109</v>
      </c>
      <c r="P517" s="98">
        <v>105</v>
      </c>
      <c r="Q517" s="98">
        <v>112</v>
      </c>
      <c r="R517" s="98">
        <v>117</v>
      </c>
      <c r="S517" s="98">
        <v>116</v>
      </c>
      <c r="T517" s="98">
        <v>112</v>
      </c>
      <c r="U517" s="98">
        <v>116</v>
      </c>
      <c r="V517" s="98">
        <v>117</v>
      </c>
      <c r="W517" s="98">
        <v>119</v>
      </c>
      <c r="X517" s="98">
        <v>120</v>
      </c>
      <c r="Y517" s="98">
        <v>119</v>
      </c>
      <c r="Z517" s="98">
        <v>110</v>
      </c>
      <c r="AA517" s="98">
        <v>94</v>
      </c>
      <c r="AB517" s="98">
        <v>85</v>
      </c>
      <c r="AC517" s="98">
        <v>59</v>
      </c>
      <c r="AD517" s="98">
        <v>55</v>
      </c>
      <c r="AE517" s="98">
        <v>50</v>
      </c>
      <c r="AF517" s="98">
        <v>40</v>
      </c>
      <c r="AG517" s="98">
        <v>43</v>
      </c>
    </row>
    <row r="518" spans="1:33" x14ac:dyDescent="0.3">
      <c r="A518" s="7">
        <v>513</v>
      </c>
      <c r="B518" s="7" t="s">
        <v>464</v>
      </c>
      <c r="C518" s="7" t="s">
        <v>21</v>
      </c>
      <c r="D518" s="8">
        <f>'CDC Source Data'!D586</f>
        <v>611272</v>
      </c>
      <c r="E518" s="8">
        <f>'CDC Source Data'!E586</f>
        <v>63</v>
      </c>
      <c r="F518" s="31">
        <f t="shared" ref="F518:F581" si="8">IFERROR(E517/D517*100000,"")</f>
        <v>10.330752246938614</v>
      </c>
      <c r="G518" s="9">
        <f>'CDC Source Data'!F586</f>
        <v>0.57999999999999996</v>
      </c>
      <c r="H518" s="7">
        <f>'CDC Source Data'!G586</f>
        <v>0</v>
      </c>
      <c r="I518" s="97">
        <v>10.9</v>
      </c>
      <c r="J518" s="97">
        <v>11.4</v>
      </c>
      <c r="K518" s="98">
        <v>55</v>
      </c>
      <c r="L518" s="98">
        <v>58</v>
      </c>
      <c r="M518" s="98">
        <v>61</v>
      </c>
      <c r="N518" s="98">
        <v>59</v>
      </c>
      <c r="O518" s="98">
        <v>74</v>
      </c>
      <c r="P518" s="98">
        <v>72</v>
      </c>
      <c r="Q518" s="98">
        <v>81</v>
      </c>
      <c r="R518" s="98">
        <v>81</v>
      </c>
      <c r="S518" s="98">
        <v>73</v>
      </c>
      <c r="T518" s="98">
        <v>79</v>
      </c>
      <c r="U518" s="98">
        <v>81</v>
      </c>
      <c r="V518" s="98">
        <v>101</v>
      </c>
      <c r="W518" s="98">
        <v>107</v>
      </c>
      <c r="X518" s="98">
        <v>116</v>
      </c>
      <c r="Y518" s="98">
        <v>121</v>
      </c>
      <c r="Z518" s="98">
        <v>109</v>
      </c>
      <c r="AA518" s="98">
        <v>116</v>
      </c>
      <c r="AB518" s="98">
        <v>110</v>
      </c>
      <c r="AC518" s="98">
        <v>107</v>
      </c>
      <c r="AD518" s="98">
        <v>102</v>
      </c>
      <c r="AE518" s="98">
        <v>97</v>
      </c>
      <c r="AF518" s="98">
        <v>79</v>
      </c>
      <c r="AG518" s="98">
        <v>63</v>
      </c>
    </row>
    <row r="519" spans="1:33" x14ac:dyDescent="0.3">
      <c r="A519" s="7">
        <v>514</v>
      </c>
      <c r="B519" s="7" t="s">
        <v>560</v>
      </c>
      <c r="C519" s="7" t="s">
        <v>262</v>
      </c>
      <c r="D519" s="8">
        <f>'CDC Source Data'!D301</f>
        <v>718604</v>
      </c>
      <c r="E519" s="8">
        <f>'CDC Source Data'!E301</f>
        <v>74</v>
      </c>
      <c r="F519" s="31">
        <f t="shared" si="8"/>
        <v>10.30637752097266</v>
      </c>
      <c r="G519" s="9">
        <f>'CDC Source Data'!F301</f>
        <v>0.08</v>
      </c>
      <c r="H519" s="7" t="str">
        <f>'CDC Source Data'!G301</f>
        <v>Completeness of provisional 2019 data under 90% after 6 months.</v>
      </c>
      <c r="I519" s="97">
        <v>15.4</v>
      </c>
      <c r="J519" s="97">
        <v>16.100000000000001</v>
      </c>
      <c r="K519" s="98">
        <v>104</v>
      </c>
      <c r="L519" s="98">
        <v>105</v>
      </c>
      <c r="M519" s="98">
        <v>108</v>
      </c>
      <c r="N519" s="98">
        <v>115</v>
      </c>
      <c r="O519" s="98">
        <v>125</v>
      </c>
      <c r="P519" s="98">
        <v>130</v>
      </c>
      <c r="Q519" s="98">
        <v>130</v>
      </c>
      <c r="R519" s="98">
        <v>137</v>
      </c>
      <c r="S519" s="98">
        <v>141</v>
      </c>
      <c r="T519" s="98">
        <v>141</v>
      </c>
      <c r="U519" s="98">
        <v>148</v>
      </c>
      <c r="V519" s="98">
        <v>136</v>
      </c>
      <c r="W519" s="98">
        <v>141</v>
      </c>
      <c r="X519" s="98">
        <v>150</v>
      </c>
      <c r="Y519" s="98">
        <v>141</v>
      </c>
      <c r="Z519" s="98">
        <v>145</v>
      </c>
      <c r="AA519" s="98">
        <v>127</v>
      </c>
      <c r="AB519" s="98">
        <v>129</v>
      </c>
      <c r="AC519" s="98">
        <v>130</v>
      </c>
      <c r="AD519" s="98">
        <v>129</v>
      </c>
      <c r="AE519" s="98">
        <v>116</v>
      </c>
      <c r="AF519" s="98">
        <v>85</v>
      </c>
      <c r="AG519" s="98">
        <v>74</v>
      </c>
    </row>
    <row r="520" spans="1:33" x14ac:dyDescent="0.3">
      <c r="A520" s="7">
        <v>515</v>
      </c>
      <c r="B520" s="7" t="s">
        <v>516</v>
      </c>
      <c r="C520" s="7" t="s">
        <v>447</v>
      </c>
      <c r="D520" s="8">
        <f>'CDC Source Data'!D594</f>
        <v>116632</v>
      </c>
      <c r="E520" s="8">
        <f>'CDC Source Data'!E594</f>
        <v>12</v>
      </c>
      <c r="F520" s="31">
        <f t="shared" si="8"/>
        <v>10.297743959120741</v>
      </c>
      <c r="G520" s="9">
        <f>'CDC Source Data'!F594</f>
        <v>0.08</v>
      </c>
      <c r="H520" s="7">
        <f>'CDC Source Data'!G594</f>
        <v>0</v>
      </c>
      <c r="I520" s="97">
        <v>17.100000000000001</v>
      </c>
      <c r="J520" s="97">
        <v>17.899999999999999</v>
      </c>
      <c r="K520" s="98">
        <v>19</v>
      </c>
      <c r="L520" s="98">
        <v>31</v>
      </c>
      <c r="M520" s="98">
        <v>34</v>
      </c>
      <c r="N520" s="98">
        <v>32</v>
      </c>
      <c r="O520" s="98">
        <v>34</v>
      </c>
      <c r="P520" s="98">
        <v>33</v>
      </c>
      <c r="Q520" s="98">
        <v>38</v>
      </c>
      <c r="R520" s="98">
        <v>41</v>
      </c>
      <c r="S520" s="98">
        <v>42</v>
      </c>
      <c r="T520" s="98">
        <v>36</v>
      </c>
      <c r="U520" s="98">
        <v>30</v>
      </c>
      <c r="V520" s="98">
        <v>34</v>
      </c>
      <c r="W520" s="98">
        <v>33</v>
      </c>
      <c r="X520" s="98">
        <v>34</v>
      </c>
      <c r="Y520" s="98">
        <v>31</v>
      </c>
      <c r="Z520" s="98">
        <v>22</v>
      </c>
      <c r="AA520" s="98">
        <v>18</v>
      </c>
      <c r="AB520" s="98">
        <v>11</v>
      </c>
      <c r="AC520" s="98">
        <v>11</v>
      </c>
      <c r="AD520" s="98"/>
      <c r="AE520" s="98"/>
      <c r="AF520" s="98">
        <v>12</v>
      </c>
      <c r="AG520" s="98">
        <v>12</v>
      </c>
    </row>
    <row r="521" spans="1:33" x14ac:dyDescent="0.3">
      <c r="A521" s="7">
        <v>516</v>
      </c>
      <c r="B521" s="7" t="s">
        <v>848</v>
      </c>
      <c r="C521" s="7" t="s">
        <v>15</v>
      </c>
      <c r="D521" s="8">
        <f>'CDC Source Data'!D334</f>
        <v>165432</v>
      </c>
      <c r="E521" s="8">
        <f>'CDC Source Data'!E334</f>
        <v>17</v>
      </c>
      <c r="F521" s="31">
        <f t="shared" si="8"/>
        <v>10.288771520680431</v>
      </c>
      <c r="G521" s="9">
        <f>'CDC Source Data'!F334</f>
        <v>0.93</v>
      </c>
      <c r="H521" s="7" t="str">
        <f>'CDC Source Data'!G334</f>
        <v>Completeness of provisional 2019 data under 90% after 6 months.</v>
      </c>
      <c r="I521" s="97">
        <v>15.9</v>
      </c>
      <c r="J521" s="97">
        <v>16.600000000000001</v>
      </c>
      <c r="K521" s="98">
        <v>30</v>
      </c>
      <c r="L521" s="98">
        <v>27</v>
      </c>
      <c r="M521" s="98">
        <v>22</v>
      </c>
      <c r="N521" s="98">
        <v>22</v>
      </c>
      <c r="O521" s="98">
        <v>23</v>
      </c>
      <c r="P521" s="98">
        <v>32</v>
      </c>
      <c r="Q521" s="98">
        <v>35</v>
      </c>
      <c r="R521" s="98">
        <v>35</v>
      </c>
      <c r="S521" s="98">
        <v>37</v>
      </c>
      <c r="T521" s="98">
        <v>32</v>
      </c>
      <c r="U521" s="98">
        <v>29</v>
      </c>
      <c r="V521" s="98">
        <v>30</v>
      </c>
      <c r="W521" s="98">
        <v>35</v>
      </c>
      <c r="X521" s="98">
        <v>36</v>
      </c>
      <c r="Y521" s="98">
        <v>37</v>
      </c>
      <c r="Z521" s="98">
        <v>34</v>
      </c>
      <c r="AA521" s="98">
        <v>30</v>
      </c>
      <c r="AB521" s="98">
        <v>32</v>
      </c>
      <c r="AC521" s="98">
        <v>37</v>
      </c>
      <c r="AD521" s="98">
        <v>33</v>
      </c>
      <c r="AE521" s="98">
        <v>30</v>
      </c>
      <c r="AF521" s="98">
        <v>25</v>
      </c>
      <c r="AG521" s="98">
        <v>17</v>
      </c>
    </row>
    <row r="522" spans="1:33" x14ac:dyDescent="0.3">
      <c r="A522" s="7">
        <v>517</v>
      </c>
      <c r="B522" s="7" t="s">
        <v>849</v>
      </c>
      <c r="C522" s="7" t="s">
        <v>239</v>
      </c>
      <c r="D522" s="8">
        <f>'CDC Source Data'!D14</f>
        <v>117313</v>
      </c>
      <c r="E522" s="8">
        <f>'CDC Source Data'!E14</f>
        <v>12</v>
      </c>
      <c r="F522" s="31">
        <f t="shared" si="8"/>
        <v>10.276125537985395</v>
      </c>
      <c r="G522" s="9">
        <f>'CDC Source Data'!F14</f>
        <v>0.1</v>
      </c>
      <c r="H522" s="7">
        <f>'CDC Source Data'!G14</f>
        <v>0</v>
      </c>
      <c r="I522" s="97">
        <v>8.1999999999999993</v>
      </c>
      <c r="J522" s="97">
        <v>8.6</v>
      </c>
      <c r="K522" s="100"/>
      <c r="L522" s="100"/>
      <c r="M522" s="98">
        <v>12</v>
      </c>
      <c r="N522" s="98">
        <v>12</v>
      </c>
      <c r="O522" s="98">
        <v>15</v>
      </c>
      <c r="P522" s="98">
        <v>16</v>
      </c>
      <c r="Q522" s="98">
        <v>17</v>
      </c>
      <c r="R522" s="98">
        <v>17</v>
      </c>
      <c r="S522" s="98">
        <v>20</v>
      </c>
      <c r="T522" s="98">
        <v>24</v>
      </c>
      <c r="U522" s="98">
        <v>23</v>
      </c>
      <c r="V522" s="98">
        <v>20</v>
      </c>
      <c r="W522" s="98">
        <v>20</v>
      </c>
      <c r="X522" s="98">
        <v>17</v>
      </c>
      <c r="Y522" s="98">
        <v>16</v>
      </c>
      <c r="Z522" s="98">
        <v>18</v>
      </c>
      <c r="AA522" s="98">
        <v>20</v>
      </c>
      <c r="AB522" s="98">
        <v>17</v>
      </c>
      <c r="AC522" s="98">
        <v>16</v>
      </c>
      <c r="AD522" s="98">
        <v>17</v>
      </c>
      <c r="AE522" s="98">
        <v>11</v>
      </c>
      <c r="AF522" s="98">
        <v>14</v>
      </c>
      <c r="AG522" s="98">
        <v>12</v>
      </c>
    </row>
    <row r="523" spans="1:33" x14ac:dyDescent="0.3">
      <c r="A523" s="7">
        <v>518</v>
      </c>
      <c r="B523" s="7" t="s">
        <v>800</v>
      </c>
      <c r="C523" s="7" t="s">
        <v>463</v>
      </c>
      <c r="D523" s="8">
        <f>'CDC Source Data'!D248</f>
        <v>109366</v>
      </c>
      <c r="E523" s="8">
        <f>'CDC Source Data'!E248</f>
        <v>11</v>
      </c>
      <c r="F523" s="31">
        <f t="shared" si="8"/>
        <v>10.229045374340439</v>
      </c>
      <c r="G523" s="9">
        <f>'CDC Source Data'!F248</f>
        <v>0.22</v>
      </c>
      <c r="H523" s="7">
        <f>'CDC Source Data'!G248</f>
        <v>0</v>
      </c>
      <c r="I523" s="97">
        <v>13.8</v>
      </c>
      <c r="J523" s="97">
        <v>14.4</v>
      </c>
      <c r="K523" s="100"/>
      <c r="L523" s="98">
        <v>12</v>
      </c>
      <c r="M523" s="98">
        <v>13</v>
      </c>
      <c r="N523" s="98">
        <v>16</v>
      </c>
      <c r="O523" s="98">
        <v>16</v>
      </c>
      <c r="P523" s="98">
        <v>16</v>
      </c>
      <c r="Q523" s="98">
        <v>16</v>
      </c>
      <c r="R523" s="98">
        <v>14</v>
      </c>
      <c r="S523" s="98">
        <v>19</v>
      </c>
      <c r="T523" s="98">
        <v>19</v>
      </c>
      <c r="U523" s="98">
        <v>19</v>
      </c>
      <c r="V523" s="98">
        <v>23</v>
      </c>
      <c r="W523" s="98">
        <v>20</v>
      </c>
      <c r="X523" s="98">
        <v>21</v>
      </c>
      <c r="Y523" s="98">
        <v>20</v>
      </c>
      <c r="Z523" s="98">
        <v>15</v>
      </c>
      <c r="AA523" s="98">
        <v>14</v>
      </c>
      <c r="AB523" s="98">
        <v>14</v>
      </c>
      <c r="AC523" s="98">
        <v>13</v>
      </c>
      <c r="AD523" s="98">
        <v>12</v>
      </c>
      <c r="AE523" s="98"/>
      <c r="AF523" s="98"/>
      <c r="AG523" s="98">
        <v>11</v>
      </c>
    </row>
    <row r="524" spans="1:33" x14ac:dyDescent="0.3">
      <c r="A524" s="7">
        <v>519</v>
      </c>
      <c r="B524" s="7" t="s">
        <v>850</v>
      </c>
      <c r="C524" s="7" t="s">
        <v>604</v>
      </c>
      <c r="D524" s="8">
        <f>'CDC Source Data'!D154</f>
        <v>1045120</v>
      </c>
      <c r="E524" s="8">
        <f>'CDC Source Data'!E154</f>
        <v>105</v>
      </c>
      <c r="F524" s="31">
        <f t="shared" si="8"/>
        <v>10.057970484428433</v>
      </c>
      <c r="G524" s="9">
        <f>'CDC Source Data'!F154</f>
        <v>0.1</v>
      </c>
      <c r="H524" s="7" t="str">
        <f>'CDC Source Data'!G154</f>
        <v>Completeness of provisional 2019 data under 90% after 6 months.</v>
      </c>
      <c r="I524" s="97">
        <v>9.3000000000000007</v>
      </c>
      <c r="J524" s="97">
        <v>9.6999999999999993</v>
      </c>
      <c r="K524" s="98">
        <v>73</v>
      </c>
      <c r="L524" s="98">
        <v>83</v>
      </c>
      <c r="M524" s="98">
        <v>88</v>
      </c>
      <c r="N524" s="98">
        <v>77</v>
      </c>
      <c r="O524" s="98">
        <v>85</v>
      </c>
      <c r="P524" s="98">
        <v>87</v>
      </c>
      <c r="Q524" s="98">
        <v>88</v>
      </c>
      <c r="R524" s="98">
        <v>105</v>
      </c>
      <c r="S524" s="98">
        <v>96</v>
      </c>
      <c r="T524" s="98">
        <v>105</v>
      </c>
      <c r="U524" s="98">
        <v>109</v>
      </c>
      <c r="V524" s="98">
        <v>111</v>
      </c>
      <c r="W524" s="98">
        <v>119</v>
      </c>
      <c r="X524" s="98">
        <v>114</v>
      </c>
      <c r="Y524" s="98">
        <v>111</v>
      </c>
      <c r="Z524" s="98">
        <v>103</v>
      </c>
      <c r="AA524" s="98">
        <v>109</v>
      </c>
      <c r="AB524" s="98">
        <v>99</v>
      </c>
      <c r="AC524" s="98">
        <v>103</v>
      </c>
      <c r="AD524" s="98">
        <v>100</v>
      </c>
      <c r="AE524" s="98">
        <v>100</v>
      </c>
      <c r="AF524" s="98">
        <v>113</v>
      </c>
      <c r="AG524" s="98">
        <v>105</v>
      </c>
    </row>
    <row r="525" spans="1:33" x14ac:dyDescent="0.3">
      <c r="A525" s="7">
        <v>520</v>
      </c>
      <c r="B525" s="7" t="s">
        <v>851</v>
      </c>
      <c r="C525" s="7" t="s">
        <v>604</v>
      </c>
      <c r="D525" s="8">
        <f>'CDC Source Data'!D608</f>
        <v>727480</v>
      </c>
      <c r="E525" s="8">
        <f>'CDC Source Data'!E608</f>
        <v>73</v>
      </c>
      <c r="F525" s="31">
        <f t="shared" si="8"/>
        <v>10.046693202694428</v>
      </c>
      <c r="G525" s="9">
        <f>'CDC Source Data'!F608</f>
        <v>0.05</v>
      </c>
      <c r="H525" s="7" t="str">
        <f>'CDC Source Data'!G608</f>
        <v>Completeness of provisional 2019 data under 90% after 6 months.</v>
      </c>
      <c r="I525" s="97">
        <v>8.6</v>
      </c>
      <c r="J525" s="97">
        <v>9</v>
      </c>
      <c r="K525" s="98">
        <v>32</v>
      </c>
      <c r="L525" s="98">
        <v>47</v>
      </c>
      <c r="M525" s="98">
        <v>49</v>
      </c>
      <c r="N525" s="98">
        <v>47</v>
      </c>
      <c r="O525" s="98">
        <v>52</v>
      </c>
      <c r="P525" s="98">
        <v>58</v>
      </c>
      <c r="Q525" s="98">
        <v>71</v>
      </c>
      <c r="R525" s="98">
        <v>85</v>
      </c>
      <c r="S525" s="98">
        <v>86</v>
      </c>
      <c r="T525" s="98">
        <v>80</v>
      </c>
      <c r="U525" s="98">
        <v>83</v>
      </c>
      <c r="V525" s="98">
        <v>89</v>
      </c>
      <c r="W525" s="98">
        <v>98</v>
      </c>
      <c r="X525" s="98">
        <v>100</v>
      </c>
      <c r="Y525" s="98">
        <v>103</v>
      </c>
      <c r="Z525" s="98">
        <v>89</v>
      </c>
      <c r="AA525" s="98">
        <v>99</v>
      </c>
      <c r="AB525" s="98">
        <v>106</v>
      </c>
      <c r="AC525" s="98">
        <v>99</v>
      </c>
      <c r="AD525" s="98">
        <v>104</v>
      </c>
      <c r="AE525" s="98">
        <v>86</v>
      </c>
      <c r="AF525" s="98">
        <v>76</v>
      </c>
      <c r="AG525" s="98">
        <v>73</v>
      </c>
    </row>
    <row r="526" spans="1:33" x14ac:dyDescent="0.3">
      <c r="A526" s="7">
        <v>521</v>
      </c>
      <c r="B526" s="7" t="s">
        <v>851</v>
      </c>
      <c r="C526" s="7" t="s">
        <v>27</v>
      </c>
      <c r="D526" s="8">
        <f>'CDC Source Data'!D609</f>
        <v>269136</v>
      </c>
      <c r="E526" s="8">
        <f>'CDC Source Data'!E609</f>
        <v>27</v>
      </c>
      <c r="F526" s="31">
        <f t="shared" si="8"/>
        <v>10.034640127563645</v>
      </c>
      <c r="G526" s="9">
        <f>'CDC Source Data'!F609</f>
        <v>0.06</v>
      </c>
      <c r="H526" s="7">
        <f>'CDC Source Data'!G609</f>
        <v>0</v>
      </c>
      <c r="I526" s="97">
        <v>12.5</v>
      </c>
      <c r="J526" s="97">
        <v>13.1</v>
      </c>
      <c r="K526" s="98">
        <v>35</v>
      </c>
      <c r="L526" s="98">
        <v>34</v>
      </c>
      <c r="M526" s="98">
        <v>37</v>
      </c>
      <c r="N526" s="98">
        <v>30</v>
      </c>
      <c r="O526" s="98">
        <v>32</v>
      </c>
      <c r="P526" s="98">
        <v>35</v>
      </c>
      <c r="Q526" s="98">
        <v>36</v>
      </c>
      <c r="R526" s="98">
        <v>41</v>
      </c>
      <c r="S526" s="98">
        <v>45</v>
      </c>
      <c r="T526" s="98">
        <v>44</v>
      </c>
      <c r="U526" s="98">
        <v>45</v>
      </c>
      <c r="V526" s="98">
        <v>46</v>
      </c>
      <c r="W526" s="98">
        <v>43</v>
      </c>
      <c r="X526" s="98">
        <v>42</v>
      </c>
      <c r="Y526" s="98">
        <v>36</v>
      </c>
      <c r="Z526" s="98">
        <v>39</v>
      </c>
      <c r="AA526" s="98">
        <v>37</v>
      </c>
      <c r="AB526" s="98">
        <v>29</v>
      </c>
      <c r="AC526" s="98">
        <v>27</v>
      </c>
      <c r="AD526" s="98">
        <v>20</v>
      </c>
      <c r="AE526" s="98">
        <v>16</v>
      </c>
      <c r="AF526" s="98">
        <v>23</v>
      </c>
      <c r="AG526" s="98">
        <v>27</v>
      </c>
    </row>
    <row r="527" spans="1:33" x14ac:dyDescent="0.3">
      <c r="A527" s="7">
        <v>522</v>
      </c>
      <c r="B527" s="7" t="s">
        <v>577</v>
      </c>
      <c r="C527" s="7" t="s">
        <v>627</v>
      </c>
      <c r="D527" s="8">
        <f>'CDC Source Data'!D273</f>
        <v>160080</v>
      </c>
      <c r="E527" s="8">
        <f>'CDC Source Data'!E273</f>
        <v>16</v>
      </c>
      <c r="F527" s="31">
        <f t="shared" si="8"/>
        <v>10.032102728731942</v>
      </c>
      <c r="G527" s="9">
        <f>'CDC Source Data'!F273</f>
        <v>0</v>
      </c>
      <c r="H527" s="7">
        <f>'CDC Source Data'!G273</f>
        <v>0</v>
      </c>
      <c r="I527" s="97">
        <v>8.6999999999999993</v>
      </c>
      <c r="J527" s="97">
        <v>9.1</v>
      </c>
      <c r="K527" s="100"/>
      <c r="L527" s="98">
        <v>12</v>
      </c>
      <c r="M527" s="98">
        <v>13</v>
      </c>
      <c r="N527" s="98">
        <v>15</v>
      </c>
      <c r="O527" s="98">
        <v>18</v>
      </c>
      <c r="P527" s="98">
        <v>17</v>
      </c>
      <c r="Q527" s="98">
        <v>17</v>
      </c>
      <c r="R527" s="98">
        <v>14</v>
      </c>
      <c r="S527" s="98">
        <v>14</v>
      </c>
      <c r="T527" s="98">
        <v>12</v>
      </c>
      <c r="U527" s="98">
        <v>16</v>
      </c>
      <c r="V527" s="98">
        <v>18</v>
      </c>
      <c r="W527" s="98">
        <v>17</v>
      </c>
      <c r="X527" s="98">
        <v>16</v>
      </c>
      <c r="Y527" s="98">
        <v>14</v>
      </c>
      <c r="Z527" s="98">
        <v>11</v>
      </c>
      <c r="AA527" s="98">
        <v>17</v>
      </c>
      <c r="AB527" s="98">
        <v>23</v>
      </c>
      <c r="AC527" s="98">
        <v>25</v>
      </c>
      <c r="AD527" s="98">
        <v>28</v>
      </c>
      <c r="AE527" s="98">
        <v>24</v>
      </c>
      <c r="AF527" s="98">
        <v>18</v>
      </c>
      <c r="AG527" s="98">
        <v>16</v>
      </c>
    </row>
    <row r="528" spans="1:33" x14ac:dyDescent="0.3">
      <c r="A528" s="7">
        <v>523</v>
      </c>
      <c r="B528" s="7" t="s">
        <v>852</v>
      </c>
      <c r="C528" s="7" t="s">
        <v>467</v>
      </c>
      <c r="D528" s="8">
        <f>'CDC Source Data'!D442</f>
        <v>180783</v>
      </c>
      <c r="E528" s="8">
        <f>'CDC Source Data'!E442</f>
        <v>18</v>
      </c>
      <c r="F528" s="31">
        <f t="shared" si="8"/>
        <v>9.9950024987506243</v>
      </c>
      <c r="G528" s="9">
        <f>'CDC Source Data'!F442</f>
        <v>0.77</v>
      </c>
      <c r="H528" s="7" t="str">
        <f>'CDC Source Data'!G442</f>
        <v>Completeness of provisional 2019 data under 90% after 6 months.</v>
      </c>
      <c r="I528" s="97">
        <v>19.399999999999999</v>
      </c>
      <c r="J528" s="97">
        <v>20.3</v>
      </c>
      <c r="K528" s="98">
        <v>51</v>
      </c>
      <c r="L528" s="98">
        <v>63</v>
      </c>
      <c r="M528" s="98">
        <v>73</v>
      </c>
      <c r="N528" s="98">
        <v>63</v>
      </c>
      <c r="O528" s="98">
        <v>62</v>
      </c>
      <c r="P528" s="98">
        <v>62</v>
      </c>
      <c r="Q528" s="98">
        <v>47</v>
      </c>
      <c r="R528" s="98">
        <v>55</v>
      </c>
      <c r="S528" s="98">
        <v>63</v>
      </c>
      <c r="T528" s="98">
        <v>72</v>
      </c>
      <c r="U528" s="98">
        <v>83</v>
      </c>
      <c r="V528" s="98">
        <v>89</v>
      </c>
      <c r="W528" s="98">
        <v>90</v>
      </c>
      <c r="X528" s="98">
        <v>84</v>
      </c>
      <c r="Y528" s="98">
        <v>77</v>
      </c>
      <c r="Z528" s="98">
        <v>71</v>
      </c>
      <c r="AA528" s="98">
        <v>64</v>
      </c>
      <c r="AB528" s="98">
        <v>53</v>
      </c>
      <c r="AC528" s="98">
        <v>44</v>
      </c>
      <c r="AD528" s="98">
        <v>31</v>
      </c>
      <c r="AE528" s="98">
        <v>20</v>
      </c>
      <c r="AF528" s="98">
        <v>18</v>
      </c>
      <c r="AG528" s="98">
        <v>18</v>
      </c>
    </row>
    <row r="529" spans="1:33" x14ac:dyDescent="0.3">
      <c r="A529" s="7">
        <v>524</v>
      </c>
      <c r="B529" s="7" t="s">
        <v>853</v>
      </c>
      <c r="C529" s="7" t="s">
        <v>590</v>
      </c>
      <c r="D529" s="8">
        <f>'CDC Source Data'!D473</f>
        <v>322433</v>
      </c>
      <c r="E529" s="8">
        <f>'CDC Source Data'!E473</f>
        <v>32</v>
      </c>
      <c r="F529" s="31">
        <f t="shared" si="8"/>
        <v>9.9566884054363509</v>
      </c>
      <c r="G529" s="9">
        <f>'CDC Source Data'!F473</f>
        <v>0.06</v>
      </c>
      <c r="H529" s="7" t="str">
        <f>'CDC Source Data'!G473</f>
        <v>Completeness of provisional 2019 data under 90% after 6 months.</v>
      </c>
      <c r="I529" s="97">
        <v>23.8</v>
      </c>
      <c r="J529" s="97">
        <v>24.9</v>
      </c>
      <c r="K529" s="98">
        <v>79</v>
      </c>
      <c r="L529" s="98">
        <v>82</v>
      </c>
      <c r="M529" s="98">
        <v>90</v>
      </c>
      <c r="N529" s="98">
        <v>80</v>
      </c>
      <c r="O529" s="98">
        <v>76</v>
      </c>
      <c r="P529" s="98">
        <v>73</v>
      </c>
      <c r="Q529" s="98">
        <v>65</v>
      </c>
      <c r="R529" s="98">
        <v>57</v>
      </c>
      <c r="S529" s="98">
        <v>60</v>
      </c>
      <c r="T529" s="98">
        <v>63</v>
      </c>
      <c r="U529" s="98">
        <v>63</v>
      </c>
      <c r="V529" s="98">
        <v>81</v>
      </c>
      <c r="W529" s="98">
        <v>90</v>
      </c>
      <c r="X529" s="98">
        <v>88</v>
      </c>
      <c r="Y529" s="98">
        <v>104</v>
      </c>
      <c r="Z529" s="98">
        <v>85</v>
      </c>
      <c r="AA529" s="98">
        <v>69</v>
      </c>
      <c r="AB529" s="98">
        <v>63</v>
      </c>
      <c r="AC529" s="98">
        <v>45</v>
      </c>
      <c r="AD529" s="98">
        <v>42</v>
      </c>
      <c r="AE529" s="98">
        <v>44</v>
      </c>
      <c r="AF529" s="98">
        <v>37</v>
      </c>
      <c r="AG529" s="98">
        <v>32</v>
      </c>
    </row>
    <row r="530" spans="1:33" x14ac:dyDescent="0.3">
      <c r="A530" s="7">
        <v>525</v>
      </c>
      <c r="B530" s="7" t="s">
        <v>854</v>
      </c>
      <c r="C530" s="7" t="s">
        <v>32</v>
      </c>
      <c r="D530" s="8">
        <f>'CDC Source Data'!D600</f>
        <v>1006447</v>
      </c>
      <c r="E530" s="8">
        <f>'CDC Source Data'!E600</f>
        <v>99</v>
      </c>
      <c r="F530" s="31">
        <f t="shared" si="8"/>
        <v>9.9245424630853538</v>
      </c>
      <c r="G530" s="9">
        <f>'CDC Source Data'!F600</f>
        <v>0.19</v>
      </c>
      <c r="H530" s="7" t="str">
        <f>'CDC Source Data'!G600</f>
        <v>Completeness of provisional 2019 data under 90% after 6 months.</v>
      </c>
      <c r="I530" s="97">
        <v>12.7</v>
      </c>
      <c r="J530" s="97">
        <v>13.3</v>
      </c>
      <c r="K530" s="98">
        <v>123</v>
      </c>
      <c r="L530" s="98">
        <v>141</v>
      </c>
      <c r="M530" s="98">
        <v>158</v>
      </c>
      <c r="N530" s="98">
        <v>173</v>
      </c>
      <c r="O530" s="98">
        <v>187</v>
      </c>
      <c r="P530" s="98">
        <v>182</v>
      </c>
      <c r="Q530" s="98">
        <v>178</v>
      </c>
      <c r="R530" s="98">
        <v>192</v>
      </c>
      <c r="S530" s="98">
        <v>204</v>
      </c>
      <c r="T530" s="98">
        <v>214</v>
      </c>
      <c r="U530" s="98">
        <v>218</v>
      </c>
      <c r="V530" s="98">
        <v>199</v>
      </c>
      <c r="W530" s="98">
        <v>192</v>
      </c>
      <c r="X530" s="98">
        <v>189</v>
      </c>
      <c r="Y530" s="98">
        <v>172</v>
      </c>
      <c r="Z530" s="98">
        <v>168</v>
      </c>
      <c r="AA530" s="98">
        <v>156</v>
      </c>
      <c r="AB530" s="98">
        <v>129</v>
      </c>
      <c r="AC530" s="98">
        <v>115</v>
      </c>
      <c r="AD530" s="98">
        <v>97</v>
      </c>
      <c r="AE530" s="98">
        <v>78</v>
      </c>
      <c r="AF530" s="98">
        <v>95</v>
      </c>
      <c r="AG530" s="98">
        <v>99</v>
      </c>
    </row>
    <row r="531" spans="1:33" x14ac:dyDescent="0.3">
      <c r="A531" s="7">
        <v>526</v>
      </c>
      <c r="B531" s="7" t="s">
        <v>855</v>
      </c>
      <c r="C531" s="7" t="s">
        <v>262</v>
      </c>
      <c r="D531" s="8">
        <f>'CDC Source Data'!D472</f>
        <v>142731</v>
      </c>
      <c r="E531" s="8">
        <f>'CDC Source Data'!E472</f>
        <v>14</v>
      </c>
      <c r="F531" s="31">
        <f t="shared" si="8"/>
        <v>9.836583545879714</v>
      </c>
      <c r="G531" s="9">
        <f>'CDC Source Data'!F472</f>
        <v>0</v>
      </c>
      <c r="H531" s="7">
        <f>'CDC Source Data'!G472</f>
        <v>0</v>
      </c>
      <c r="I531" s="97">
        <v>12.8</v>
      </c>
      <c r="J531" s="97">
        <v>13.4</v>
      </c>
      <c r="K531" s="98">
        <v>23</v>
      </c>
      <c r="L531" s="98">
        <v>24</v>
      </c>
      <c r="M531" s="98">
        <v>18</v>
      </c>
      <c r="N531" s="98">
        <v>19</v>
      </c>
      <c r="O531" s="98">
        <v>24</v>
      </c>
      <c r="P531" s="98">
        <v>23</v>
      </c>
      <c r="Q531" s="98">
        <v>25</v>
      </c>
      <c r="R531" s="98">
        <v>26</v>
      </c>
      <c r="S531" s="98">
        <v>22</v>
      </c>
      <c r="T531" s="98">
        <v>21</v>
      </c>
      <c r="U531" s="98">
        <v>24</v>
      </c>
      <c r="V531" s="98">
        <v>19</v>
      </c>
      <c r="W531" s="98">
        <v>20</v>
      </c>
      <c r="X531" s="98">
        <v>23</v>
      </c>
      <c r="Y531" s="98">
        <v>22</v>
      </c>
      <c r="Z531" s="98">
        <v>25</v>
      </c>
      <c r="AA531" s="98">
        <v>21</v>
      </c>
      <c r="AB531" s="98">
        <v>16</v>
      </c>
      <c r="AC531" s="98">
        <v>13</v>
      </c>
      <c r="AD531" s="98">
        <v>10</v>
      </c>
      <c r="AE531" s="98"/>
      <c r="AF531" s="98">
        <v>13</v>
      </c>
      <c r="AG531" s="98">
        <v>14</v>
      </c>
    </row>
    <row r="532" spans="1:33" x14ac:dyDescent="0.3">
      <c r="A532" s="7">
        <v>527</v>
      </c>
      <c r="B532" s="7" t="s">
        <v>856</v>
      </c>
      <c r="C532" s="7" t="s">
        <v>604</v>
      </c>
      <c r="D532" s="8">
        <f>'CDC Source Data'!D367</f>
        <v>183587</v>
      </c>
      <c r="E532" s="8">
        <f>'CDC Source Data'!E367</f>
        <v>18</v>
      </c>
      <c r="F532" s="31">
        <f t="shared" si="8"/>
        <v>9.8086610477051224</v>
      </c>
      <c r="G532" s="9">
        <f>'CDC Source Data'!F367</f>
        <v>0.17</v>
      </c>
      <c r="H532" s="7" t="str">
        <f>'CDC Source Data'!G367</f>
        <v>Completeness of provisional 2019 data under 90% after 6 months.</v>
      </c>
      <c r="I532" s="97">
        <v>11.3</v>
      </c>
      <c r="J532" s="97">
        <v>11.8</v>
      </c>
      <c r="K532" s="98">
        <v>15</v>
      </c>
      <c r="L532" s="98">
        <v>15</v>
      </c>
      <c r="M532" s="98">
        <v>17</v>
      </c>
      <c r="N532" s="98">
        <v>22</v>
      </c>
      <c r="O532" s="98">
        <v>25</v>
      </c>
      <c r="P532" s="98">
        <v>28</v>
      </c>
      <c r="Q532" s="98">
        <v>29</v>
      </c>
      <c r="R532" s="98">
        <v>25</v>
      </c>
      <c r="S532" s="98">
        <v>22</v>
      </c>
      <c r="T532" s="98">
        <v>19</v>
      </c>
      <c r="U532" s="98">
        <v>22</v>
      </c>
      <c r="V532" s="98">
        <v>27</v>
      </c>
      <c r="W532" s="98">
        <v>30</v>
      </c>
      <c r="X532" s="98">
        <v>33</v>
      </c>
      <c r="Y532" s="98">
        <v>28</v>
      </c>
      <c r="Z532" s="98">
        <v>28</v>
      </c>
      <c r="AA532" s="98">
        <v>24</v>
      </c>
      <c r="AB532" s="98">
        <v>21</v>
      </c>
      <c r="AC532" s="98">
        <v>19</v>
      </c>
      <c r="AD532" s="98">
        <v>17</v>
      </c>
      <c r="AE532" s="98">
        <v>19</v>
      </c>
      <c r="AF532" s="98">
        <v>18</v>
      </c>
      <c r="AG532" s="98">
        <v>18</v>
      </c>
    </row>
    <row r="533" spans="1:33" x14ac:dyDescent="0.3">
      <c r="A533" s="7">
        <v>528</v>
      </c>
      <c r="B533" s="7" t="s">
        <v>540</v>
      </c>
      <c r="C533" s="7" t="s">
        <v>19</v>
      </c>
      <c r="D533" s="8">
        <f>'CDC Source Data'!D135</f>
        <v>275516</v>
      </c>
      <c r="E533" s="8">
        <f>'CDC Source Data'!E135</f>
        <v>27</v>
      </c>
      <c r="F533" s="31">
        <f t="shared" si="8"/>
        <v>9.804615795236046</v>
      </c>
      <c r="G533" s="9">
        <f>'CDC Source Data'!F135</f>
        <v>0</v>
      </c>
      <c r="H533" s="7" t="str">
        <f>'CDC Source Data'!G135</f>
        <v>Completeness of provisional 2019 data under 90% after 6 months.</v>
      </c>
      <c r="I533" s="97">
        <v>17.100000000000001</v>
      </c>
      <c r="J533" s="97">
        <v>17.899999999999999</v>
      </c>
      <c r="K533" s="98">
        <v>38</v>
      </c>
      <c r="L533" s="98">
        <v>45</v>
      </c>
      <c r="M533" s="98">
        <v>51</v>
      </c>
      <c r="N533" s="98">
        <v>59</v>
      </c>
      <c r="O533" s="98">
        <v>61</v>
      </c>
      <c r="P533" s="98">
        <v>51</v>
      </c>
      <c r="Q533" s="98">
        <v>47</v>
      </c>
      <c r="R533" s="98">
        <v>45</v>
      </c>
      <c r="S533" s="98">
        <v>43</v>
      </c>
      <c r="T533" s="98">
        <v>46</v>
      </c>
      <c r="U533" s="98">
        <v>48</v>
      </c>
      <c r="V533" s="98">
        <v>43</v>
      </c>
      <c r="W533" s="98">
        <v>35</v>
      </c>
      <c r="X533" s="98">
        <v>34</v>
      </c>
      <c r="Y533" s="98">
        <v>29</v>
      </c>
      <c r="Z533" s="98">
        <v>35</v>
      </c>
      <c r="AA533" s="98">
        <v>40</v>
      </c>
      <c r="AB533" s="98">
        <v>37</v>
      </c>
      <c r="AC533" s="98">
        <v>38</v>
      </c>
      <c r="AD533" s="98">
        <v>26</v>
      </c>
      <c r="AE533" s="98">
        <v>27</v>
      </c>
      <c r="AF533" s="98">
        <v>29</v>
      </c>
      <c r="AG533" s="98">
        <v>27</v>
      </c>
    </row>
    <row r="534" spans="1:33" x14ac:dyDescent="0.3">
      <c r="A534" s="7">
        <v>529</v>
      </c>
      <c r="B534" s="7" t="s">
        <v>857</v>
      </c>
      <c r="C534" s="7" t="s">
        <v>11</v>
      </c>
      <c r="D534" s="8">
        <f>'CDC Source Data'!D97</f>
        <v>174478</v>
      </c>
      <c r="E534" s="8">
        <f>'CDC Source Data'!E97</f>
        <v>17</v>
      </c>
      <c r="F534" s="31">
        <f t="shared" si="8"/>
        <v>9.7997938413740044</v>
      </c>
      <c r="G534" s="9">
        <f>'CDC Source Data'!F97</f>
        <v>7.0000000000000007E-2</v>
      </c>
      <c r="H534" s="7">
        <f>'CDC Source Data'!G97</f>
        <v>0</v>
      </c>
      <c r="I534" s="97">
        <v>20.6</v>
      </c>
      <c r="J534" s="97">
        <v>21.5</v>
      </c>
      <c r="K534" s="98">
        <v>53</v>
      </c>
      <c r="L534" s="98">
        <v>49</v>
      </c>
      <c r="M534" s="98">
        <v>48</v>
      </c>
      <c r="N534" s="98">
        <v>59</v>
      </c>
      <c r="O534" s="98">
        <v>59</v>
      </c>
      <c r="P534" s="98">
        <v>59</v>
      </c>
      <c r="Q534" s="98">
        <v>57</v>
      </c>
      <c r="R534" s="98">
        <v>47</v>
      </c>
      <c r="S534" s="98">
        <v>49</v>
      </c>
      <c r="T534" s="98">
        <v>57</v>
      </c>
      <c r="U534" s="98">
        <v>68</v>
      </c>
      <c r="V534" s="98">
        <v>74</v>
      </c>
      <c r="W534" s="98">
        <v>70</v>
      </c>
      <c r="X534" s="98">
        <v>65</v>
      </c>
      <c r="Y534" s="98">
        <v>50</v>
      </c>
      <c r="Z534" s="98">
        <v>46</v>
      </c>
      <c r="AA534" s="98">
        <v>45</v>
      </c>
      <c r="AB534" s="98">
        <v>41</v>
      </c>
      <c r="AC534" s="98">
        <v>38</v>
      </c>
      <c r="AD534" s="98">
        <v>30</v>
      </c>
      <c r="AE534" s="98">
        <v>25</v>
      </c>
      <c r="AF534" s="98">
        <v>18</v>
      </c>
      <c r="AG534" s="98">
        <v>17</v>
      </c>
    </row>
    <row r="535" spans="1:33" x14ac:dyDescent="0.3">
      <c r="A535" s="7">
        <v>530</v>
      </c>
      <c r="B535" s="7" t="s">
        <v>502</v>
      </c>
      <c r="C535" s="7" t="s">
        <v>463</v>
      </c>
      <c r="D535" s="8">
        <f>'CDC Source Data'!D380</f>
        <v>225894</v>
      </c>
      <c r="E535" s="8">
        <f>'CDC Source Data'!E380</f>
        <v>22</v>
      </c>
      <c r="F535" s="31">
        <f t="shared" si="8"/>
        <v>9.7433487316452503</v>
      </c>
      <c r="G535" s="9">
        <f>'CDC Source Data'!F380</f>
        <v>0.13</v>
      </c>
      <c r="H535" s="7">
        <f>'CDC Source Data'!G380</f>
        <v>0</v>
      </c>
      <c r="I535" s="97">
        <v>8.5</v>
      </c>
      <c r="J535" s="97">
        <v>8.8000000000000007</v>
      </c>
      <c r="K535" s="98">
        <v>13</v>
      </c>
      <c r="L535" s="98">
        <v>21</v>
      </c>
      <c r="M535" s="98">
        <v>31</v>
      </c>
      <c r="N535" s="98">
        <v>30</v>
      </c>
      <c r="O535" s="98">
        <v>39</v>
      </c>
      <c r="P535" s="98">
        <v>41</v>
      </c>
      <c r="Q535" s="98">
        <v>36</v>
      </c>
      <c r="R535" s="98">
        <v>40</v>
      </c>
      <c r="S535" s="98">
        <v>34</v>
      </c>
      <c r="T535" s="98">
        <v>35</v>
      </c>
      <c r="U535" s="98">
        <v>42</v>
      </c>
      <c r="V535" s="98">
        <v>43</v>
      </c>
      <c r="W535" s="98">
        <v>42</v>
      </c>
      <c r="X535" s="98">
        <v>42</v>
      </c>
      <c r="Y535" s="98">
        <v>32</v>
      </c>
      <c r="Z535" s="98">
        <v>35</v>
      </c>
      <c r="AA535" s="98">
        <v>43</v>
      </c>
      <c r="AB535" s="98">
        <v>39</v>
      </c>
      <c r="AC535" s="98">
        <v>40</v>
      </c>
      <c r="AD535" s="98">
        <v>35</v>
      </c>
      <c r="AE535" s="98">
        <v>25</v>
      </c>
      <c r="AF535" s="98">
        <v>23</v>
      </c>
      <c r="AG535" s="98">
        <v>22</v>
      </c>
    </row>
    <row r="536" spans="1:33" x14ac:dyDescent="0.3">
      <c r="A536" s="7">
        <v>531</v>
      </c>
      <c r="B536" s="7" t="s">
        <v>858</v>
      </c>
      <c r="C536" s="7" t="s">
        <v>32</v>
      </c>
      <c r="D536" s="8">
        <f>'CDC Source Data'!D417</f>
        <v>113012</v>
      </c>
      <c r="E536" s="8">
        <f>'CDC Source Data'!E417</f>
        <v>11</v>
      </c>
      <c r="F536" s="31">
        <f t="shared" si="8"/>
        <v>9.7390811619609199</v>
      </c>
      <c r="G536" s="9">
        <f>'CDC Source Data'!F417</f>
        <v>0.6</v>
      </c>
      <c r="H536" s="7" t="str">
        <f>'CDC Source Data'!G417</f>
        <v>Completeness of provisional 2019 data under 90% after 6 months.</v>
      </c>
      <c r="I536" s="97">
        <v>13.7</v>
      </c>
      <c r="J536" s="97">
        <v>14.3</v>
      </c>
      <c r="K536" s="98">
        <v>26</v>
      </c>
      <c r="L536" s="98">
        <v>23</v>
      </c>
      <c r="M536" s="98">
        <v>19</v>
      </c>
      <c r="N536" s="98">
        <v>15</v>
      </c>
      <c r="O536" s="98">
        <v>14</v>
      </c>
      <c r="P536" s="98">
        <v>18</v>
      </c>
      <c r="Q536" s="98">
        <v>23</v>
      </c>
      <c r="R536" s="98">
        <v>21</v>
      </c>
      <c r="S536" s="98">
        <v>19</v>
      </c>
      <c r="T536" s="98">
        <v>19</v>
      </c>
      <c r="U536" s="98">
        <v>16</v>
      </c>
      <c r="V536" s="98">
        <v>16</v>
      </c>
      <c r="W536" s="98">
        <v>23</v>
      </c>
      <c r="X536" s="98">
        <v>25</v>
      </c>
      <c r="Y536" s="98">
        <v>30</v>
      </c>
      <c r="Z536" s="98">
        <v>32</v>
      </c>
      <c r="AA536" s="98">
        <v>27</v>
      </c>
      <c r="AB536" s="98">
        <v>23</v>
      </c>
      <c r="AC536" s="98">
        <v>19</v>
      </c>
      <c r="AD536" s="98">
        <v>17</v>
      </c>
      <c r="AE536" s="98">
        <v>14</v>
      </c>
      <c r="AF536" s="98">
        <v>13</v>
      </c>
      <c r="AG536" s="98">
        <v>11</v>
      </c>
    </row>
    <row r="537" spans="1:33" x14ac:dyDescent="0.3">
      <c r="A537" s="7">
        <v>532</v>
      </c>
      <c r="B537" s="7" t="s">
        <v>835</v>
      </c>
      <c r="C537" s="7" t="s">
        <v>41</v>
      </c>
      <c r="D537" s="8">
        <f>'CDC Source Data'!D55</f>
        <v>144135</v>
      </c>
      <c r="E537" s="8">
        <f>'CDC Source Data'!E55</f>
        <v>14</v>
      </c>
      <c r="F537" s="31">
        <f t="shared" si="8"/>
        <v>9.7334796304817193</v>
      </c>
      <c r="G537" s="9">
        <f>'CDC Source Data'!F55</f>
        <v>0</v>
      </c>
      <c r="H537" s="7">
        <f>'CDC Source Data'!G55</f>
        <v>0</v>
      </c>
      <c r="I537" s="97">
        <v>33.200000000000003</v>
      </c>
      <c r="J537" s="97">
        <v>34.700000000000003</v>
      </c>
      <c r="K537" s="98">
        <v>39</v>
      </c>
      <c r="L537" s="98">
        <v>46</v>
      </c>
      <c r="M537" s="98">
        <v>53</v>
      </c>
      <c r="N537" s="98">
        <v>57</v>
      </c>
      <c r="O537" s="98">
        <v>56</v>
      </c>
      <c r="P537" s="98">
        <v>50</v>
      </c>
      <c r="Q537" s="98">
        <v>50</v>
      </c>
      <c r="R537" s="98">
        <v>49</v>
      </c>
      <c r="S537" s="98">
        <v>47</v>
      </c>
      <c r="T537" s="98">
        <v>56</v>
      </c>
      <c r="U537" s="98">
        <v>55</v>
      </c>
      <c r="V537" s="98">
        <v>47</v>
      </c>
      <c r="W537" s="98">
        <v>47</v>
      </c>
      <c r="X537" s="98">
        <v>39</v>
      </c>
      <c r="Y537" s="98">
        <v>32</v>
      </c>
      <c r="Z537" s="98">
        <v>36</v>
      </c>
      <c r="AA537" s="98">
        <v>35</v>
      </c>
      <c r="AB537" s="98">
        <v>31</v>
      </c>
      <c r="AC537" s="98">
        <v>28</v>
      </c>
      <c r="AD537" s="98">
        <v>19</v>
      </c>
      <c r="AE537" s="98">
        <v>17</v>
      </c>
      <c r="AF537" s="98">
        <v>16</v>
      </c>
      <c r="AG537" s="98">
        <v>14</v>
      </c>
    </row>
    <row r="538" spans="1:33" x14ac:dyDescent="0.3">
      <c r="A538" s="7">
        <v>533</v>
      </c>
      <c r="B538" s="7" t="s">
        <v>859</v>
      </c>
      <c r="C538" s="7" t="s">
        <v>35</v>
      </c>
      <c r="D538" s="8">
        <f>'CDC Source Data'!D176</f>
        <v>207436</v>
      </c>
      <c r="E538" s="8">
        <f>'CDC Source Data'!E176</f>
        <v>20</v>
      </c>
      <c r="F538" s="31">
        <f t="shared" si="8"/>
        <v>9.7131161758074036</v>
      </c>
      <c r="G538" s="9">
        <f>'CDC Source Data'!F176</f>
        <v>0</v>
      </c>
      <c r="H538" s="7">
        <f>'CDC Source Data'!G176</f>
        <v>0</v>
      </c>
      <c r="I538" s="97">
        <v>13.6</v>
      </c>
      <c r="J538" s="97">
        <v>14.2</v>
      </c>
      <c r="K538" s="98">
        <v>18</v>
      </c>
      <c r="L538" s="98">
        <v>21</v>
      </c>
      <c r="M538" s="98">
        <v>32</v>
      </c>
      <c r="N538" s="98">
        <v>29</v>
      </c>
      <c r="O538" s="98">
        <v>36</v>
      </c>
      <c r="P538" s="98">
        <v>41</v>
      </c>
      <c r="Q538" s="98">
        <v>33</v>
      </c>
      <c r="R538" s="98">
        <v>40</v>
      </c>
      <c r="S538" s="98">
        <v>44</v>
      </c>
      <c r="T538" s="98">
        <v>41</v>
      </c>
      <c r="U538" s="98">
        <v>39</v>
      </c>
      <c r="V538" s="98">
        <v>34</v>
      </c>
      <c r="W538" s="98">
        <v>31</v>
      </c>
      <c r="X538" s="98">
        <v>25</v>
      </c>
      <c r="Y538" s="98">
        <v>29</v>
      </c>
      <c r="Z538" s="98">
        <v>30</v>
      </c>
      <c r="AA538" s="98">
        <v>27</v>
      </c>
      <c r="AB538" s="98">
        <v>35</v>
      </c>
      <c r="AC538" s="98">
        <v>33</v>
      </c>
      <c r="AD538" s="98">
        <v>33</v>
      </c>
      <c r="AE538" s="98">
        <v>31</v>
      </c>
      <c r="AF538" s="98">
        <v>22</v>
      </c>
      <c r="AG538" s="98">
        <v>20</v>
      </c>
    </row>
    <row r="539" spans="1:33" x14ac:dyDescent="0.3">
      <c r="A539" s="7">
        <v>534</v>
      </c>
      <c r="B539" s="7" t="s">
        <v>860</v>
      </c>
      <c r="C539" s="7" t="s">
        <v>50</v>
      </c>
      <c r="D539" s="8">
        <f>'CDC Source Data'!D364</f>
        <v>2838461</v>
      </c>
      <c r="E539" s="8">
        <f>'CDC Source Data'!E364</f>
        <v>272</v>
      </c>
      <c r="F539" s="31">
        <f t="shared" si="8"/>
        <v>9.6415279893557528</v>
      </c>
      <c r="G539" s="9">
        <f>'CDC Source Data'!F364</f>
        <v>0.22</v>
      </c>
      <c r="H539" s="7" t="str">
        <f>'CDC Source Data'!G364</f>
        <v>Completeness of provisional 2019 data under 90% after 6 months.</v>
      </c>
      <c r="I539" s="97">
        <v>9.6999999999999993</v>
      </c>
      <c r="J539" s="97">
        <v>10.1</v>
      </c>
      <c r="K539" s="98">
        <v>321</v>
      </c>
      <c r="L539" s="98">
        <v>364</v>
      </c>
      <c r="M539" s="98">
        <v>375</v>
      </c>
      <c r="N539" s="98">
        <v>372</v>
      </c>
      <c r="O539" s="98">
        <v>381</v>
      </c>
      <c r="P539" s="98">
        <v>360</v>
      </c>
      <c r="Q539" s="98">
        <v>363</v>
      </c>
      <c r="R539" s="98">
        <v>362</v>
      </c>
      <c r="S539" s="98">
        <v>377</v>
      </c>
      <c r="T539" s="98">
        <v>366</v>
      </c>
      <c r="U539" s="98">
        <v>371</v>
      </c>
      <c r="V539" s="98">
        <v>378</v>
      </c>
      <c r="W539" s="98">
        <v>385</v>
      </c>
      <c r="X539" s="98">
        <v>394</v>
      </c>
      <c r="Y539" s="98">
        <v>381</v>
      </c>
      <c r="Z539" s="98">
        <v>380</v>
      </c>
      <c r="AA539" s="98">
        <v>369</v>
      </c>
      <c r="AB539" s="98">
        <v>379</v>
      </c>
      <c r="AC539" s="98">
        <v>356</v>
      </c>
      <c r="AD539" s="98">
        <v>333</v>
      </c>
      <c r="AE539" s="98">
        <v>303</v>
      </c>
      <c r="AF539" s="98">
        <v>270</v>
      </c>
      <c r="AG539" s="98">
        <v>272</v>
      </c>
    </row>
    <row r="540" spans="1:33" x14ac:dyDescent="0.3">
      <c r="A540" s="7">
        <v>535</v>
      </c>
      <c r="B540" s="7" t="s">
        <v>861</v>
      </c>
      <c r="C540" s="7" t="s">
        <v>463</v>
      </c>
      <c r="D540" s="8">
        <f>'CDC Source Data'!D566</f>
        <v>241212</v>
      </c>
      <c r="E540" s="8">
        <f>'CDC Source Data'!E566</f>
        <v>23</v>
      </c>
      <c r="F540" s="31">
        <f t="shared" si="8"/>
        <v>9.5826576444066003</v>
      </c>
      <c r="G540" s="9">
        <f>'CDC Source Data'!F566</f>
        <v>0.15</v>
      </c>
      <c r="H540" s="7">
        <f>'CDC Source Data'!G566</f>
        <v>0</v>
      </c>
      <c r="I540" s="97">
        <v>18</v>
      </c>
      <c r="J540" s="97">
        <v>18.8</v>
      </c>
      <c r="K540" s="98">
        <v>24</v>
      </c>
      <c r="L540" s="98">
        <v>34</v>
      </c>
      <c r="M540" s="98">
        <v>36</v>
      </c>
      <c r="N540" s="98">
        <v>43</v>
      </c>
      <c r="O540" s="98">
        <v>58</v>
      </c>
      <c r="P540" s="98">
        <v>55</v>
      </c>
      <c r="Q540" s="98">
        <v>63</v>
      </c>
      <c r="R540" s="98">
        <v>58</v>
      </c>
      <c r="S540" s="98">
        <v>46</v>
      </c>
      <c r="T540" s="98">
        <v>44</v>
      </c>
      <c r="U540" s="98">
        <v>39</v>
      </c>
      <c r="V540" s="98">
        <v>44</v>
      </c>
      <c r="W540" s="98">
        <v>45</v>
      </c>
      <c r="X540" s="98">
        <v>48</v>
      </c>
      <c r="Y540" s="98">
        <v>47</v>
      </c>
      <c r="Z540" s="98">
        <v>48</v>
      </c>
      <c r="AA540" s="98">
        <v>52</v>
      </c>
      <c r="AB540" s="98">
        <v>51</v>
      </c>
      <c r="AC540" s="98">
        <v>51</v>
      </c>
      <c r="AD540" s="98">
        <v>42</v>
      </c>
      <c r="AE540" s="98">
        <v>33</v>
      </c>
      <c r="AF540" s="98">
        <v>28</v>
      </c>
      <c r="AG540" s="98">
        <v>23</v>
      </c>
    </row>
    <row r="541" spans="1:33" x14ac:dyDescent="0.3">
      <c r="A541" s="7">
        <v>536</v>
      </c>
      <c r="B541" s="7" t="s">
        <v>862</v>
      </c>
      <c r="C541" s="7" t="s">
        <v>230</v>
      </c>
      <c r="D541" s="8">
        <f>'CDC Source Data'!D263</f>
        <v>126479</v>
      </c>
      <c r="E541" s="8">
        <f>'CDC Source Data'!E263</f>
        <v>12</v>
      </c>
      <c r="F541" s="31">
        <f t="shared" si="8"/>
        <v>9.5351806709450617</v>
      </c>
      <c r="G541" s="9">
        <f>'CDC Source Data'!F263</f>
        <v>0</v>
      </c>
      <c r="H541" s="7">
        <f>'CDC Source Data'!G263</f>
        <v>0</v>
      </c>
      <c r="I541" s="97">
        <v>16</v>
      </c>
      <c r="J541" s="97">
        <v>16.7</v>
      </c>
      <c r="K541" s="98">
        <v>14</v>
      </c>
      <c r="L541" s="98">
        <v>23</v>
      </c>
      <c r="M541" s="98">
        <v>25</v>
      </c>
      <c r="N541" s="98">
        <v>23</v>
      </c>
      <c r="O541" s="98">
        <v>26</v>
      </c>
      <c r="P541" s="98">
        <v>24</v>
      </c>
      <c r="Q541" s="98">
        <v>24</v>
      </c>
      <c r="R541" s="98">
        <v>25</v>
      </c>
      <c r="S541" s="98">
        <v>26</v>
      </c>
      <c r="T541" s="98">
        <v>22</v>
      </c>
      <c r="U541" s="98">
        <v>31</v>
      </c>
      <c r="V541" s="98">
        <v>32</v>
      </c>
      <c r="W541" s="98">
        <v>30</v>
      </c>
      <c r="X541" s="98">
        <v>33</v>
      </c>
      <c r="Y541" s="98">
        <v>20</v>
      </c>
      <c r="Z541" s="98">
        <v>19</v>
      </c>
      <c r="AA541" s="98">
        <v>24</v>
      </c>
      <c r="AB541" s="98">
        <v>23</v>
      </c>
      <c r="AC541" s="98">
        <v>27</v>
      </c>
      <c r="AD541" s="98">
        <v>29</v>
      </c>
      <c r="AE541" s="98">
        <v>21</v>
      </c>
      <c r="AF541" s="98">
        <v>16</v>
      </c>
      <c r="AG541" s="98">
        <v>12</v>
      </c>
    </row>
    <row r="542" spans="1:33" x14ac:dyDescent="0.3">
      <c r="A542" s="7">
        <v>537</v>
      </c>
      <c r="B542" s="7" t="s">
        <v>863</v>
      </c>
      <c r="C542" s="7" t="s">
        <v>712</v>
      </c>
      <c r="D542" s="8">
        <f>'CDC Source Data'!D433</f>
        <v>115979</v>
      </c>
      <c r="E542" s="8">
        <f>'CDC Source Data'!E433</f>
        <v>11</v>
      </c>
      <c r="F542" s="31">
        <f t="shared" si="8"/>
        <v>9.4877410479209985</v>
      </c>
      <c r="G542" s="9">
        <f>'CDC Source Data'!F433</f>
        <v>0</v>
      </c>
      <c r="H542" s="7">
        <f>'CDC Source Data'!G433</f>
        <v>0</v>
      </c>
      <c r="I542" s="97">
        <v>10.6</v>
      </c>
      <c r="J542" s="97">
        <v>11.1</v>
      </c>
      <c r="K542" s="98">
        <v>16</v>
      </c>
      <c r="L542" s="98">
        <v>13</v>
      </c>
      <c r="M542" s="98">
        <v>12</v>
      </c>
      <c r="N542" s="98">
        <v>10</v>
      </c>
      <c r="O542" s="100"/>
      <c r="P542" s="100"/>
      <c r="Q542" s="98">
        <v>10</v>
      </c>
      <c r="R542" s="98">
        <v>12</v>
      </c>
      <c r="S542" s="98">
        <v>16</v>
      </c>
      <c r="T542" s="98">
        <v>18</v>
      </c>
      <c r="U542" s="98">
        <v>17</v>
      </c>
      <c r="V542" s="98">
        <v>21</v>
      </c>
      <c r="W542" s="98">
        <v>25</v>
      </c>
      <c r="X542" s="98">
        <v>28</v>
      </c>
      <c r="Y542" s="98">
        <v>25</v>
      </c>
      <c r="Z542" s="98">
        <v>22</v>
      </c>
      <c r="AA542" s="98">
        <v>16</v>
      </c>
      <c r="AB542" s="98">
        <v>12</v>
      </c>
      <c r="AC542" s="98">
        <v>17</v>
      </c>
      <c r="AD542" s="98">
        <v>16</v>
      </c>
      <c r="AE542" s="98">
        <v>14</v>
      </c>
      <c r="AF542" s="98">
        <v>16</v>
      </c>
      <c r="AG542" s="98">
        <v>11</v>
      </c>
    </row>
    <row r="543" spans="1:33" x14ac:dyDescent="0.3">
      <c r="A543" s="7">
        <v>538</v>
      </c>
      <c r="B543" s="7" t="s">
        <v>864</v>
      </c>
      <c r="C543" s="7" t="s">
        <v>32</v>
      </c>
      <c r="D543" s="8">
        <f>'CDC Source Data'!D474</f>
        <v>348144</v>
      </c>
      <c r="E543" s="8">
        <f>'CDC Source Data'!E474</f>
        <v>33</v>
      </c>
      <c r="F543" s="31">
        <f t="shared" si="8"/>
        <v>9.484475637830986</v>
      </c>
      <c r="G543" s="9">
        <f>'CDC Source Data'!F474</f>
        <v>0.05</v>
      </c>
      <c r="H543" s="7">
        <f>'CDC Source Data'!G474</f>
        <v>0</v>
      </c>
      <c r="I543" s="97">
        <v>11.7</v>
      </c>
      <c r="J543" s="97">
        <v>12.2</v>
      </c>
      <c r="K543" s="98">
        <v>54</v>
      </c>
      <c r="L543" s="98">
        <v>49</v>
      </c>
      <c r="M543" s="98">
        <v>54</v>
      </c>
      <c r="N543" s="98">
        <v>51</v>
      </c>
      <c r="O543" s="98">
        <v>64</v>
      </c>
      <c r="P543" s="98">
        <v>69</v>
      </c>
      <c r="Q543" s="98">
        <v>72</v>
      </c>
      <c r="R543" s="98">
        <v>75</v>
      </c>
      <c r="S543" s="98">
        <v>63</v>
      </c>
      <c r="T543" s="98">
        <v>58</v>
      </c>
      <c r="U543" s="98">
        <v>51</v>
      </c>
      <c r="V543" s="98">
        <v>51</v>
      </c>
      <c r="W543" s="98">
        <v>52</v>
      </c>
      <c r="X543" s="98">
        <v>58</v>
      </c>
      <c r="Y543" s="98">
        <v>53</v>
      </c>
      <c r="Z543" s="98">
        <v>48</v>
      </c>
      <c r="AA543" s="98">
        <v>49</v>
      </c>
      <c r="AB543" s="98">
        <v>36</v>
      </c>
      <c r="AC543" s="98">
        <v>33</v>
      </c>
      <c r="AD543" s="98">
        <v>31</v>
      </c>
      <c r="AE543" s="98">
        <v>23</v>
      </c>
      <c r="AF543" s="98">
        <v>28</v>
      </c>
      <c r="AG543" s="98">
        <v>33</v>
      </c>
    </row>
    <row r="544" spans="1:33" x14ac:dyDescent="0.3">
      <c r="A544" s="7">
        <v>539</v>
      </c>
      <c r="B544" s="7" t="s">
        <v>865</v>
      </c>
      <c r="C544" s="7" t="s">
        <v>604</v>
      </c>
      <c r="D544" s="8">
        <f>'CDC Source Data'!D177</f>
        <v>232387</v>
      </c>
      <c r="E544" s="8">
        <f>'CDC Source Data'!E177</f>
        <v>22</v>
      </c>
      <c r="F544" s="31">
        <f t="shared" si="8"/>
        <v>9.4788363435819658</v>
      </c>
      <c r="G544" s="9">
        <f>'CDC Source Data'!F177</f>
        <v>0.06</v>
      </c>
      <c r="H544" s="7" t="str">
        <f>'CDC Source Data'!G177</f>
        <v>Completeness of provisional 2019 data under 90% after 6 months.</v>
      </c>
      <c r="I544" s="97">
        <v>8.9</v>
      </c>
      <c r="J544" s="97">
        <v>9.3000000000000007</v>
      </c>
      <c r="K544" s="98">
        <v>17</v>
      </c>
      <c r="L544" s="98">
        <v>15</v>
      </c>
      <c r="M544" s="98">
        <v>16</v>
      </c>
      <c r="N544" s="98">
        <v>21</v>
      </c>
      <c r="O544" s="98">
        <v>17</v>
      </c>
      <c r="P544" s="98">
        <v>20</v>
      </c>
      <c r="Q544" s="98">
        <v>19</v>
      </c>
      <c r="R544" s="98">
        <v>18</v>
      </c>
      <c r="S544" s="98">
        <v>25</v>
      </c>
      <c r="T544" s="98">
        <v>26</v>
      </c>
      <c r="U544" s="98">
        <v>27</v>
      </c>
      <c r="V544" s="98">
        <v>26</v>
      </c>
      <c r="W544" s="98">
        <v>24</v>
      </c>
      <c r="X544" s="98">
        <v>23</v>
      </c>
      <c r="Y544" s="98">
        <v>24</v>
      </c>
      <c r="Z544" s="98">
        <v>27</v>
      </c>
      <c r="AA544" s="98">
        <v>27</v>
      </c>
      <c r="AB544" s="98">
        <v>30</v>
      </c>
      <c r="AC544" s="98">
        <v>29</v>
      </c>
      <c r="AD544" s="98">
        <v>28</v>
      </c>
      <c r="AE544" s="98">
        <v>28</v>
      </c>
      <c r="AF544" s="98">
        <v>26</v>
      </c>
      <c r="AG544" s="98">
        <v>22</v>
      </c>
    </row>
    <row r="545" spans="1:33" x14ac:dyDescent="0.3">
      <c r="A545" s="7">
        <v>540</v>
      </c>
      <c r="B545" s="7" t="s">
        <v>866</v>
      </c>
      <c r="C545" s="7" t="s">
        <v>11</v>
      </c>
      <c r="D545" s="8">
        <f>'CDC Source Data'!D250</f>
        <v>339668</v>
      </c>
      <c r="E545" s="8">
        <f>'CDC Source Data'!E250</f>
        <v>32</v>
      </c>
      <c r="F545" s="31">
        <f t="shared" si="8"/>
        <v>9.4669667408245726</v>
      </c>
      <c r="G545" s="9">
        <f>'CDC Source Data'!F250</f>
        <v>0.05</v>
      </c>
      <c r="H545" s="7" t="str">
        <f>'CDC Source Data'!G250</f>
        <v>Completeness of provisional 2019 data under 90% after 6 months.</v>
      </c>
      <c r="I545" s="97">
        <v>13.3</v>
      </c>
      <c r="J545" s="97">
        <v>13.9</v>
      </c>
      <c r="K545" s="98">
        <v>46</v>
      </c>
      <c r="L545" s="98">
        <v>54</v>
      </c>
      <c r="M545" s="98">
        <v>53</v>
      </c>
      <c r="N545" s="98">
        <v>59</v>
      </c>
      <c r="O545" s="98">
        <v>53</v>
      </c>
      <c r="P545" s="98">
        <v>43</v>
      </c>
      <c r="Q545" s="98">
        <v>44</v>
      </c>
      <c r="R545" s="98">
        <v>40</v>
      </c>
      <c r="S545" s="98">
        <v>49</v>
      </c>
      <c r="T545" s="98">
        <v>55</v>
      </c>
      <c r="U545" s="98">
        <v>51</v>
      </c>
      <c r="V545" s="98">
        <v>53</v>
      </c>
      <c r="W545" s="98">
        <v>47</v>
      </c>
      <c r="X545" s="98">
        <v>46</v>
      </c>
      <c r="Y545" s="98">
        <v>45</v>
      </c>
      <c r="Z545" s="98">
        <v>42</v>
      </c>
      <c r="AA545" s="98">
        <v>46</v>
      </c>
      <c r="AB545" s="98">
        <v>45</v>
      </c>
      <c r="AC545" s="98">
        <v>48</v>
      </c>
      <c r="AD545" s="98">
        <v>46</v>
      </c>
      <c r="AE545" s="98">
        <v>37</v>
      </c>
      <c r="AF545" s="98">
        <v>33</v>
      </c>
      <c r="AG545" s="98">
        <v>32</v>
      </c>
    </row>
    <row r="546" spans="1:33" x14ac:dyDescent="0.3">
      <c r="A546" s="7">
        <v>541</v>
      </c>
      <c r="B546" s="7" t="s">
        <v>867</v>
      </c>
      <c r="C546" s="7" t="s">
        <v>469</v>
      </c>
      <c r="D546" s="8">
        <f>'CDC Source Data'!D390</f>
        <v>201830</v>
      </c>
      <c r="E546" s="8">
        <f>'CDC Source Data'!E390</f>
        <v>19</v>
      </c>
      <c r="F546" s="31">
        <f t="shared" si="8"/>
        <v>9.4209640001413142</v>
      </c>
      <c r="G546" s="9">
        <f>'CDC Source Data'!F390</f>
        <v>0.43</v>
      </c>
      <c r="H546" s="7" t="str">
        <f>'CDC Source Data'!G390</f>
        <v>Completeness of provisional 2019 data under 90% after 6 months.</v>
      </c>
      <c r="I546" s="97">
        <v>12.6</v>
      </c>
      <c r="J546" s="97">
        <v>13.2</v>
      </c>
      <c r="K546" s="98">
        <v>24</v>
      </c>
      <c r="L546" s="98">
        <v>29</v>
      </c>
      <c r="M546" s="98">
        <v>26</v>
      </c>
      <c r="N546" s="98">
        <v>32</v>
      </c>
      <c r="O546" s="98">
        <v>39</v>
      </c>
      <c r="P546" s="98">
        <v>38</v>
      </c>
      <c r="Q546" s="98">
        <v>43</v>
      </c>
      <c r="R546" s="98">
        <v>44</v>
      </c>
      <c r="S546" s="98">
        <v>45</v>
      </c>
      <c r="T546" s="98">
        <v>41</v>
      </c>
      <c r="U546" s="98">
        <v>42</v>
      </c>
      <c r="V546" s="98">
        <v>40</v>
      </c>
      <c r="W546" s="98">
        <v>36</v>
      </c>
      <c r="X546" s="98">
        <v>40</v>
      </c>
      <c r="Y546" s="98">
        <v>38</v>
      </c>
      <c r="Z546" s="98">
        <v>39</v>
      </c>
      <c r="AA546" s="98">
        <v>38</v>
      </c>
      <c r="AB546" s="98">
        <v>36</v>
      </c>
      <c r="AC546" s="98">
        <v>38</v>
      </c>
      <c r="AD546" s="98">
        <v>32</v>
      </c>
      <c r="AE546" s="98">
        <v>24</v>
      </c>
      <c r="AF546" s="98">
        <v>22</v>
      </c>
      <c r="AG546" s="98">
        <v>19</v>
      </c>
    </row>
    <row r="547" spans="1:33" x14ac:dyDescent="0.3">
      <c r="A547" s="7">
        <v>542</v>
      </c>
      <c r="B547" s="7" t="s">
        <v>778</v>
      </c>
      <c r="C547" s="7" t="s">
        <v>447</v>
      </c>
      <c r="D547" s="8">
        <f>'CDC Source Data'!D581</f>
        <v>256059</v>
      </c>
      <c r="E547" s="8">
        <f>'CDC Source Data'!E581</f>
        <v>24</v>
      </c>
      <c r="F547" s="31">
        <f t="shared" si="8"/>
        <v>9.4138631521577576</v>
      </c>
      <c r="G547" s="9">
        <f>'CDC Source Data'!F581</f>
        <v>0.05</v>
      </c>
      <c r="H547" s="7">
        <f>'CDC Source Data'!G581</f>
        <v>0</v>
      </c>
      <c r="I547" s="97">
        <v>22.8</v>
      </c>
      <c r="J547" s="97">
        <v>23.8</v>
      </c>
      <c r="K547" s="98">
        <v>50</v>
      </c>
      <c r="L547" s="98">
        <v>56</v>
      </c>
      <c r="M547" s="98">
        <v>53</v>
      </c>
      <c r="N547" s="98">
        <v>59</v>
      </c>
      <c r="O547" s="98">
        <v>70</v>
      </c>
      <c r="P547" s="98">
        <v>71</v>
      </c>
      <c r="Q547" s="98">
        <v>76</v>
      </c>
      <c r="R547" s="98">
        <v>72</v>
      </c>
      <c r="S547" s="98">
        <v>61</v>
      </c>
      <c r="T547" s="98">
        <v>57</v>
      </c>
      <c r="U547" s="98">
        <v>54</v>
      </c>
      <c r="V547" s="98">
        <v>49</v>
      </c>
      <c r="W547" s="98">
        <v>47</v>
      </c>
      <c r="X547" s="98">
        <v>42</v>
      </c>
      <c r="Y547" s="98">
        <v>41</v>
      </c>
      <c r="Z547" s="98">
        <v>37</v>
      </c>
      <c r="AA547" s="98">
        <v>32</v>
      </c>
      <c r="AB547" s="98">
        <v>31</v>
      </c>
      <c r="AC547" s="98">
        <v>24</v>
      </c>
      <c r="AD547" s="98">
        <v>24</v>
      </c>
      <c r="AE547" s="98">
        <v>24</v>
      </c>
      <c r="AF547" s="98">
        <v>21</v>
      </c>
      <c r="AG547" s="98">
        <v>24</v>
      </c>
    </row>
    <row r="548" spans="1:33" x14ac:dyDescent="0.3">
      <c r="A548" s="7">
        <v>543</v>
      </c>
      <c r="B548" s="7" t="s">
        <v>265</v>
      </c>
      <c r="C548" s="7" t="s">
        <v>480</v>
      </c>
      <c r="D548" s="8">
        <f>'CDC Source Data'!D286</f>
        <v>673002</v>
      </c>
      <c r="E548" s="8">
        <f>'CDC Source Data'!E286</f>
        <v>63</v>
      </c>
      <c r="F548" s="31">
        <f t="shared" si="8"/>
        <v>9.3728398533150568</v>
      </c>
      <c r="G548" s="9">
        <f>'CDC Source Data'!F286</f>
        <v>0.08</v>
      </c>
      <c r="H548" s="7" t="str">
        <f>'CDC Source Data'!G286</f>
        <v>Completeness of provisional 2019 data under 90% after 6 months.</v>
      </c>
      <c r="I548" s="97">
        <v>15.3</v>
      </c>
      <c r="J548" s="97">
        <v>16</v>
      </c>
      <c r="K548" s="98">
        <v>113</v>
      </c>
      <c r="L548" s="98">
        <v>121</v>
      </c>
      <c r="M548" s="98">
        <v>109</v>
      </c>
      <c r="N548" s="98">
        <v>103</v>
      </c>
      <c r="O548" s="98">
        <v>98</v>
      </c>
      <c r="P548" s="98">
        <v>97</v>
      </c>
      <c r="Q548" s="98">
        <v>116</v>
      </c>
      <c r="R548" s="98">
        <v>124</v>
      </c>
      <c r="S548" s="98">
        <v>125</v>
      </c>
      <c r="T548" s="98">
        <v>125</v>
      </c>
      <c r="U548" s="98">
        <v>120</v>
      </c>
      <c r="V548" s="98">
        <v>119</v>
      </c>
      <c r="W548" s="98">
        <v>122</v>
      </c>
      <c r="X548" s="98">
        <v>120</v>
      </c>
      <c r="Y548" s="98">
        <v>115</v>
      </c>
      <c r="Z548" s="98">
        <v>114</v>
      </c>
      <c r="AA548" s="98">
        <v>103</v>
      </c>
      <c r="AB548" s="98">
        <v>101</v>
      </c>
      <c r="AC548" s="98">
        <v>95</v>
      </c>
      <c r="AD548" s="98">
        <v>80</v>
      </c>
      <c r="AE548" s="98">
        <v>78</v>
      </c>
      <c r="AF548" s="98">
        <v>69</v>
      </c>
      <c r="AG548" s="98">
        <v>63</v>
      </c>
    </row>
    <row r="549" spans="1:33" x14ac:dyDescent="0.3">
      <c r="A549" s="7">
        <v>544</v>
      </c>
      <c r="B549" s="7" t="s">
        <v>496</v>
      </c>
      <c r="C549" s="7" t="s">
        <v>868</v>
      </c>
      <c r="D549" s="8">
        <f>'CDC Source Data'!D162</f>
        <v>601158</v>
      </c>
      <c r="E549" s="8">
        <f>'CDC Source Data'!E162</f>
        <v>56</v>
      </c>
      <c r="F549" s="31">
        <f t="shared" si="8"/>
        <v>9.3610420177057421</v>
      </c>
      <c r="G549" s="9">
        <f>'CDC Source Data'!F162</f>
        <v>0</v>
      </c>
      <c r="H549" s="7">
        <f>'CDC Source Data'!G162</f>
        <v>0</v>
      </c>
      <c r="I549" s="97">
        <v>11.2</v>
      </c>
      <c r="J549" s="97">
        <v>11.7</v>
      </c>
      <c r="K549" s="98">
        <v>64</v>
      </c>
      <c r="L549" s="98">
        <v>76</v>
      </c>
      <c r="M549" s="98">
        <v>93</v>
      </c>
      <c r="N549" s="98">
        <v>91</v>
      </c>
      <c r="O549" s="98">
        <v>88</v>
      </c>
      <c r="P549" s="98">
        <v>90</v>
      </c>
      <c r="Q549" s="98">
        <v>92</v>
      </c>
      <c r="R549" s="98">
        <v>91</v>
      </c>
      <c r="S549" s="98">
        <v>95</v>
      </c>
      <c r="T549" s="98">
        <v>101</v>
      </c>
      <c r="U549" s="98">
        <v>103</v>
      </c>
      <c r="V549" s="98">
        <v>116</v>
      </c>
      <c r="W549" s="98">
        <v>107</v>
      </c>
      <c r="X549" s="98">
        <v>89</v>
      </c>
      <c r="Y549" s="98">
        <v>79</v>
      </c>
      <c r="Z549" s="98">
        <v>64</v>
      </c>
      <c r="AA549" s="98">
        <v>58</v>
      </c>
      <c r="AB549" s="98">
        <v>59</v>
      </c>
      <c r="AC549" s="98">
        <v>63</v>
      </c>
      <c r="AD549" s="98">
        <v>61</v>
      </c>
      <c r="AE549" s="98">
        <v>68</v>
      </c>
      <c r="AF549" s="98">
        <v>68</v>
      </c>
      <c r="AG549" s="98">
        <v>56</v>
      </c>
    </row>
    <row r="550" spans="1:33" x14ac:dyDescent="0.3">
      <c r="A550" s="7">
        <v>545</v>
      </c>
      <c r="B550" s="7" t="s">
        <v>869</v>
      </c>
      <c r="C550" s="7" t="s">
        <v>237</v>
      </c>
      <c r="D550" s="8">
        <f>'CDC Source Data'!D42</f>
        <v>978641</v>
      </c>
      <c r="E550" s="8">
        <f>'CDC Source Data'!E42</f>
        <v>91</v>
      </c>
      <c r="F550" s="31">
        <f t="shared" si="8"/>
        <v>9.3153546987647182</v>
      </c>
      <c r="G550" s="9">
        <f>'CDC Source Data'!F42</f>
        <v>0.11</v>
      </c>
      <c r="H550" s="7" t="str">
        <f>'CDC Source Data'!G42</f>
        <v>Completeness of provisional 2019 data under 90% after 6 months.</v>
      </c>
      <c r="I550" s="97">
        <v>13.2</v>
      </c>
      <c r="J550" s="97">
        <v>13.8</v>
      </c>
      <c r="K550" s="98">
        <v>158</v>
      </c>
      <c r="L550" s="98">
        <v>175</v>
      </c>
      <c r="M550" s="98">
        <v>176</v>
      </c>
      <c r="N550" s="98">
        <v>182</v>
      </c>
      <c r="O550" s="98">
        <v>203</v>
      </c>
      <c r="P550" s="98">
        <v>196</v>
      </c>
      <c r="Q550" s="98">
        <v>200</v>
      </c>
      <c r="R550" s="98">
        <v>202</v>
      </c>
      <c r="S550" s="98">
        <v>189</v>
      </c>
      <c r="T550" s="98">
        <v>187</v>
      </c>
      <c r="U550" s="98">
        <v>175</v>
      </c>
      <c r="V550" s="98">
        <v>163</v>
      </c>
      <c r="W550" s="98">
        <v>151</v>
      </c>
      <c r="X550" s="98">
        <v>149</v>
      </c>
      <c r="Y550" s="98">
        <v>138</v>
      </c>
      <c r="Z550" s="98">
        <v>120</v>
      </c>
      <c r="AA550" s="98">
        <v>111</v>
      </c>
      <c r="AB550" s="98">
        <v>111</v>
      </c>
      <c r="AC550" s="98">
        <v>107</v>
      </c>
      <c r="AD550" s="98">
        <v>106</v>
      </c>
      <c r="AE550" s="98">
        <v>108</v>
      </c>
      <c r="AF550" s="98">
        <v>96</v>
      </c>
      <c r="AG550" s="98">
        <v>91</v>
      </c>
    </row>
    <row r="551" spans="1:33" x14ac:dyDescent="0.3">
      <c r="A551" s="7">
        <v>546</v>
      </c>
      <c r="B551" s="7" t="s">
        <v>593</v>
      </c>
      <c r="C551" s="7" t="s">
        <v>469</v>
      </c>
      <c r="D551" s="8">
        <f>'CDC Source Data'!D195</f>
        <v>280096</v>
      </c>
      <c r="E551" s="8">
        <f>'CDC Source Data'!E195</f>
        <v>26</v>
      </c>
      <c r="F551" s="31">
        <f t="shared" si="8"/>
        <v>9.2986089894046948</v>
      </c>
      <c r="G551" s="9">
        <f>'CDC Source Data'!F195</f>
        <v>0.3</v>
      </c>
      <c r="H551" s="7" t="str">
        <f>'CDC Source Data'!G195</f>
        <v>Completeness of provisional 2019 data under 90% after 6 months.</v>
      </c>
      <c r="I551" s="97">
        <v>12.6</v>
      </c>
      <c r="J551" s="97">
        <v>13.1</v>
      </c>
      <c r="K551" s="98">
        <v>28</v>
      </c>
      <c r="L551" s="98">
        <v>25</v>
      </c>
      <c r="M551" s="98">
        <v>24</v>
      </c>
      <c r="N551" s="98">
        <v>22</v>
      </c>
      <c r="O551" s="98">
        <v>29</v>
      </c>
      <c r="P551" s="98">
        <v>28</v>
      </c>
      <c r="Q551" s="98">
        <v>30</v>
      </c>
      <c r="R551" s="98">
        <v>34</v>
      </c>
      <c r="S551" s="98">
        <v>34</v>
      </c>
      <c r="T551" s="98">
        <v>37</v>
      </c>
      <c r="U551" s="98">
        <v>38</v>
      </c>
      <c r="V551" s="98">
        <v>50</v>
      </c>
      <c r="W551" s="98">
        <v>45</v>
      </c>
      <c r="X551" s="98">
        <v>47</v>
      </c>
      <c r="Y551" s="98">
        <v>43</v>
      </c>
      <c r="Z551" s="98">
        <v>26</v>
      </c>
      <c r="AA551" s="98">
        <v>28</v>
      </c>
      <c r="AB551" s="98">
        <v>26</v>
      </c>
      <c r="AC551" s="98">
        <v>25</v>
      </c>
      <c r="AD551" s="98">
        <v>26</v>
      </c>
      <c r="AE551" s="98">
        <v>27</v>
      </c>
      <c r="AF551" s="98">
        <v>25</v>
      </c>
      <c r="AG551" s="98">
        <v>26</v>
      </c>
    </row>
    <row r="552" spans="1:33" x14ac:dyDescent="0.3">
      <c r="A552" s="7">
        <v>547</v>
      </c>
      <c r="B552" s="7" t="s">
        <v>870</v>
      </c>
      <c r="C552" s="7" t="s">
        <v>868</v>
      </c>
      <c r="D552" s="8">
        <f>'CDC Source Data'!D499</f>
        <v>204828</v>
      </c>
      <c r="E552" s="8">
        <f>'CDC Source Data'!E499</f>
        <v>19</v>
      </c>
      <c r="F552" s="31">
        <f t="shared" si="8"/>
        <v>9.2825317034159713</v>
      </c>
      <c r="G552" s="9">
        <f>'CDC Source Data'!F499</f>
        <v>0</v>
      </c>
      <c r="H552" s="7">
        <f>'CDC Source Data'!G499</f>
        <v>0</v>
      </c>
      <c r="I552" s="97">
        <v>7.5</v>
      </c>
      <c r="J552" s="97">
        <v>7.8</v>
      </c>
      <c r="K552" s="98">
        <v>19</v>
      </c>
      <c r="L552" s="98">
        <v>20</v>
      </c>
      <c r="M552" s="98">
        <v>12</v>
      </c>
      <c r="N552" s="98">
        <v>11</v>
      </c>
      <c r="O552" s="98">
        <v>11</v>
      </c>
      <c r="P552" s="100"/>
      <c r="Q552" s="98">
        <v>13</v>
      </c>
      <c r="R552" s="98">
        <v>15</v>
      </c>
      <c r="S552" s="98">
        <v>14</v>
      </c>
      <c r="T552" s="98">
        <v>18</v>
      </c>
      <c r="U552" s="98">
        <v>20</v>
      </c>
      <c r="V552" s="98">
        <v>20</v>
      </c>
      <c r="W552" s="98">
        <v>21</v>
      </c>
      <c r="X552" s="98">
        <v>21</v>
      </c>
      <c r="Y552" s="98">
        <v>19</v>
      </c>
      <c r="Z552" s="98">
        <v>17</v>
      </c>
      <c r="AA552" s="98">
        <v>16</v>
      </c>
      <c r="AB552" s="98">
        <v>14</v>
      </c>
      <c r="AC552" s="100"/>
      <c r="AD552" s="98">
        <v>10</v>
      </c>
      <c r="AE552" s="98">
        <v>12</v>
      </c>
      <c r="AF552" s="98">
        <v>13</v>
      </c>
      <c r="AG552" s="98">
        <v>19</v>
      </c>
    </row>
    <row r="553" spans="1:33" x14ac:dyDescent="0.3">
      <c r="A553" s="7">
        <v>548</v>
      </c>
      <c r="B553" s="7" t="s">
        <v>871</v>
      </c>
      <c r="C553" s="7" t="s">
        <v>627</v>
      </c>
      <c r="D553" s="8">
        <f>'CDC Source Data'!D51</f>
        <v>132348</v>
      </c>
      <c r="E553" s="8">
        <f>'CDC Source Data'!E51</f>
        <v>12</v>
      </c>
      <c r="F553" s="31">
        <f t="shared" si="8"/>
        <v>9.2760755365477383</v>
      </c>
      <c r="G553" s="9">
        <f>'CDC Source Data'!F51</f>
        <v>0</v>
      </c>
      <c r="H553" s="7" t="str">
        <f>'CDC Source Data'!G51</f>
        <v>Completeness of provisional 2019 data under 90% after 6 months.</v>
      </c>
      <c r="I553" s="97">
        <v>9.1</v>
      </c>
      <c r="J553" s="97">
        <v>9.5</v>
      </c>
      <c r="K553" s="100"/>
      <c r="L553" s="98">
        <v>12</v>
      </c>
      <c r="M553" s="98">
        <v>16</v>
      </c>
      <c r="N553" s="98">
        <v>17</v>
      </c>
      <c r="O553" s="98">
        <v>20</v>
      </c>
      <c r="P553" s="98">
        <v>18</v>
      </c>
      <c r="Q553" s="98">
        <v>19</v>
      </c>
      <c r="R553" s="98">
        <v>18</v>
      </c>
      <c r="S553" s="98">
        <v>19</v>
      </c>
      <c r="T553" s="98">
        <v>18</v>
      </c>
      <c r="U553" s="98">
        <v>13</v>
      </c>
      <c r="V553" s="98">
        <v>13</v>
      </c>
      <c r="W553" s="98">
        <v>14</v>
      </c>
      <c r="X553" s="98">
        <v>14</v>
      </c>
      <c r="Y553" s="98">
        <v>21</v>
      </c>
      <c r="Z553" s="98">
        <v>18</v>
      </c>
      <c r="AA553" s="98">
        <v>15</v>
      </c>
      <c r="AB553" s="98">
        <v>18</v>
      </c>
      <c r="AC553" s="98">
        <v>14</v>
      </c>
      <c r="AD553" s="98">
        <v>16</v>
      </c>
      <c r="AE553" s="98">
        <v>17</v>
      </c>
      <c r="AF553" s="98">
        <v>15</v>
      </c>
      <c r="AG553" s="98">
        <v>12</v>
      </c>
    </row>
    <row r="554" spans="1:33" x14ac:dyDescent="0.3">
      <c r="A554" s="7">
        <v>549</v>
      </c>
      <c r="B554" s="7" t="s">
        <v>872</v>
      </c>
      <c r="C554" s="7" t="s">
        <v>15</v>
      </c>
      <c r="D554" s="8">
        <f>'CDC Source Data'!D392</f>
        <v>132727</v>
      </c>
      <c r="E554" s="8">
        <f>'CDC Source Data'!E392</f>
        <v>12</v>
      </c>
      <c r="F554" s="31">
        <f t="shared" si="8"/>
        <v>9.0670051681929458</v>
      </c>
      <c r="G554" s="9">
        <f>'CDC Source Data'!F392</f>
        <v>0.08</v>
      </c>
      <c r="H554" s="7" t="str">
        <f>'CDC Source Data'!G392</f>
        <v>Completeness of provisional 2019 data under 90% after 6 months.</v>
      </c>
      <c r="I554" s="97">
        <v>13.9</v>
      </c>
      <c r="J554" s="97">
        <v>14.5</v>
      </c>
      <c r="K554" s="98">
        <v>21</v>
      </c>
      <c r="L554" s="98">
        <v>24</v>
      </c>
      <c r="M554" s="98">
        <v>21</v>
      </c>
      <c r="N554" s="98">
        <v>20</v>
      </c>
      <c r="O554" s="98">
        <v>18</v>
      </c>
      <c r="P554" s="98">
        <v>17</v>
      </c>
      <c r="Q554" s="98">
        <v>19</v>
      </c>
      <c r="R554" s="98">
        <v>21</v>
      </c>
      <c r="S554" s="98">
        <v>23</v>
      </c>
      <c r="T554" s="98">
        <v>29</v>
      </c>
      <c r="U554" s="98">
        <v>34</v>
      </c>
      <c r="V554" s="98">
        <v>35</v>
      </c>
      <c r="W554" s="98">
        <v>33</v>
      </c>
      <c r="X554" s="98">
        <v>27</v>
      </c>
      <c r="Y554" s="98">
        <v>23</v>
      </c>
      <c r="Z554" s="98">
        <v>22</v>
      </c>
      <c r="AA554" s="98">
        <v>22</v>
      </c>
      <c r="AB554" s="98">
        <v>21</v>
      </c>
      <c r="AC554" s="98">
        <v>21</v>
      </c>
      <c r="AD554" s="98">
        <v>15</v>
      </c>
      <c r="AE554" s="98">
        <v>13</v>
      </c>
      <c r="AF554" s="98">
        <v>14</v>
      </c>
      <c r="AG554" s="98">
        <v>12</v>
      </c>
    </row>
    <row r="555" spans="1:33" x14ac:dyDescent="0.3">
      <c r="A555" s="7">
        <v>550</v>
      </c>
      <c r="B555" s="7" t="s">
        <v>873</v>
      </c>
      <c r="C555" s="7" t="s">
        <v>262</v>
      </c>
      <c r="D555" s="8">
        <f>'CDC Source Data'!D278</f>
        <v>520997</v>
      </c>
      <c r="E555" s="8">
        <f>'CDC Source Data'!E278</f>
        <v>47</v>
      </c>
      <c r="F555" s="31">
        <f t="shared" si="8"/>
        <v>9.0411144680434266</v>
      </c>
      <c r="G555" s="9">
        <f>'CDC Source Data'!F278</f>
        <v>0.05</v>
      </c>
      <c r="H555" s="7">
        <f>'CDC Source Data'!G278</f>
        <v>0</v>
      </c>
      <c r="I555" s="97">
        <v>12.9</v>
      </c>
      <c r="J555" s="97">
        <v>13.4</v>
      </c>
      <c r="K555" s="98">
        <v>83</v>
      </c>
      <c r="L555" s="98">
        <v>84</v>
      </c>
      <c r="M555" s="98">
        <v>91</v>
      </c>
      <c r="N555" s="98">
        <v>93</v>
      </c>
      <c r="O555" s="98">
        <v>100</v>
      </c>
      <c r="P555" s="98">
        <v>96</v>
      </c>
      <c r="Q555" s="98">
        <v>104</v>
      </c>
      <c r="R555" s="98">
        <v>107</v>
      </c>
      <c r="S555" s="98">
        <v>118</v>
      </c>
      <c r="T555" s="98">
        <v>113</v>
      </c>
      <c r="U555" s="98">
        <v>99</v>
      </c>
      <c r="V555" s="98">
        <v>94</v>
      </c>
      <c r="W555" s="98">
        <v>87</v>
      </c>
      <c r="X555" s="98">
        <v>79</v>
      </c>
      <c r="Y555" s="98">
        <v>90</v>
      </c>
      <c r="Z555" s="98">
        <v>84</v>
      </c>
      <c r="AA555" s="98">
        <v>78</v>
      </c>
      <c r="AB555" s="98">
        <v>77</v>
      </c>
      <c r="AC555" s="98">
        <v>58</v>
      </c>
      <c r="AD555" s="98">
        <v>53</v>
      </c>
      <c r="AE555" s="98">
        <v>42</v>
      </c>
      <c r="AF555" s="98">
        <v>46</v>
      </c>
      <c r="AG555" s="98">
        <v>47</v>
      </c>
    </row>
    <row r="556" spans="1:33" x14ac:dyDescent="0.3">
      <c r="A556" s="7">
        <v>551</v>
      </c>
      <c r="B556" s="7" t="s">
        <v>874</v>
      </c>
      <c r="C556" s="7" t="s">
        <v>38</v>
      </c>
      <c r="D556" s="8">
        <f>'CDC Source Data'!D593</f>
        <v>417029</v>
      </c>
      <c r="E556" s="8">
        <f>'CDC Source Data'!E593</f>
        <v>37</v>
      </c>
      <c r="F556" s="31">
        <f t="shared" si="8"/>
        <v>9.0211651890509916</v>
      </c>
      <c r="G556" s="9">
        <f>'CDC Source Data'!F593</f>
        <v>0.89</v>
      </c>
      <c r="H556" s="7" t="str">
        <f>'CDC Source Data'!G593</f>
        <v>Completeness of provisional 2019 data under 90% after 6 months.</v>
      </c>
      <c r="I556" s="97">
        <v>16.8</v>
      </c>
      <c r="J556" s="97">
        <v>17.5</v>
      </c>
      <c r="K556" s="98">
        <v>64</v>
      </c>
      <c r="L556" s="98">
        <v>81</v>
      </c>
      <c r="M556" s="98">
        <v>89</v>
      </c>
      <c r="N556" s="98">
        <v>97</v>
      </c>
      <c r="O556" s="98">
        <v>104</v>
      </c>
      <c r="P556" s="98">
        <v>112</v>
      </c>
      <c r="Q556" s="98">
        <v>112</v>
      </c>
      <c r="R556" s="98">
        <v>112</v>
      </c>
      <c r="S556" s="98">
        <v>102</v>
      </c>
      <c r="T556" s="98">
        <v>88</v>
      </c>
      <c r="U556" s="98">
        <v>89</v>
      </c>
      <c r="V556" s="98">
        <v>72</v>
      </c>
      <c r="W556" s="98">
        <v>71</v>
      </c>
      <c r="X556" s="98">
        <v>74</v>
      </c>
      <c r="Y556" s="98">
        <v>70</v>
      </c>
      <c r="Z556" s="98">
        <v>71</v>
      </c>
      <c r="AA556" s="98">
        <v>69</v>
      </c>
      <c r="AB556" s="98">
        <v>62</v>
      </c>
      <c r="AC556" s="98">
        <v>57</v>
      </c>
      <c r="AD556" s="98">
        <v>53</v>
      </c>
      <c r="AE556" s="98">
        <v>50</v>
      </c>
      <c r="AF556" s="98">
        <v>43</v>
      </c>
      <c r="AG556" s="98">
        <v>37</v>
      </c>
    </row>
    <row r="557" spans="1:33" x14ac:dyDescent="0.3">
      <c r="A557" s="7">
        <v>552</v>
      </c>
      <c r="B557" s="7" t="s">
        <v>875</v>
      </c>
      <c r="C557" s="7" t="s">
        <v>239</v>
      </c>
      <c r="D557" s="8">
        <f>'CDC Source Data'!D184</f>
        <v>1160925</v>
      </c>
      <c r="E557" s="8">
        <f>'CDC Source Data'!E184</f>
        <v>103</v>
      </c>
      <c r="F557" s="31">
        <f t="shared" si="8"/>
        <v>8.8722846612585702</v>
      </c>
      <c r="G557" s="9">
        <f>'CDC Source Data'!F184</f>
        <v>0.08</v>
      </c>
      <c r="H557" s="7" t="str">
        <f>'CDC Source Data'!G184</f>
        <v>Completeness of provisional 2019 data under 90% after 6 months.</v>
      </c>
      <c r="I557" s="97">
        <v>8.1999999999999993</v>
      </c>
      <c r="J557" s="97">
        <v>8.6</v>
      </c>
      <c r="K557" s="98">
        <v>102</v>
      </c>
      <c r="L557" s="98">
        <v>119</v>
      </c>
      <c r="M557" s="98">
        <v>133</v>
      </c>
      <c r="N557" s="98">
        <v>119</v>
      </c>
      <c r="O557" s="98">
        <v>122</v>
      </c>
      <c r="P557" s="98">
        <v>123</v>
      </c>
      <c r="Q557" s="98">
        <v>120</v>
      </c>
      <c r="R557" s="98">
        <v>126</v>
      </c>
      <c r="S557" s="98">
        <v>124</v>
      </c>
      <c r="T557" s="98">
        <v>122</v>
      </c>
      <c r="U557" s="98">
        <v>116</v>
      </c>
      <c r="V557" s="98">
        <v>116</v>
      </c>
      <c r="W557" s="98">
        <v>132</v>
      </c>
      <c r="X557" s="98">
        <v>137</v>
      </c>
      <c r="Y557" s="98">
        <v>139</v>
      </c>
      <c r="Z557" s="98">
        <v>156</v>
      </c>
      <c r="AA557" s="98">
        <v>137</v>
      </c>
      <c r="AB557" s="98">
        <v>133</v>
      </c>
      <c r="AC557" s="98">
        <v>125</v>
      </c>
      <c r="AD557" s="98">
        <v>101</v>
      </c>
      <c r="AE557" s="98">
        <v>95</v>
      </c>
      <c r="AF557" s="98">
        <v>83</v>
      </c>
      <c r="AG557" s="98">
        <v>103</v>
      </c>
    </row>
    <row r="558" spans="1:33" x14ac:dyDescent="0.3">
      <c r="A558" s="7">
        <v>553</v>
      </c>
      <c r="B558" s="7" t="s">
        <v>876</v>
      </c>
      <c r="C558" s="7" t="s">
        <v>467</v>
      </c>
      <c r="D558" s="8">
        <f>'CDC Source Data'!D576</f>
        <v>1232444</v>
      </c>
      <c r="E558" s="8">
        <f>'CDC Source Data'!E576</f>
        <v>109</v>
      </c>
      <c r="F558" s="31">
        <f t="shared" si="8"/>
        <v>8.8722355018627397</v>
      </c>
      <c r="G558" s="9">
        <f>'CDC Source Data'!F576</f>
        <v>1.24</v>
      </c>
      <c r="H558" s="7" t="str">
        <f>'CDC Source Data'!G576</f>
        <v>Completeness of provisional 2019 data under 90% after 6 months.</v>
      </c>
      <c r="I558" s="97">
        <v>12.1</v>
      </c>
      <c r="J558" s="97">
        <v>12.6</v>
      </c>
      <c r="K558" s="98">
        <v>135</v>
      </c>
      <c r="L558" s="98">
        <v>159</v>
      </c>
      <c r="M558" s="98">
        <v>182</v>
      </c>
      <c r="N558" s="98">
        <v>195</v>
      </c>
      <c r="O558" s="98">
        <v>217</v>
      </c>
      <c r="P558" s="98">
        <v>213</v>
      </c>
      <c r="Q558" s="98">
        <v>229</v>
      </c>
      <c r="R558" s="98">
        <v>239</v>
      </c>
      <c r="S558" s="98">
        <v>246</v>
      </c>
      <c r="T558" s="98">
        <v>254</v>
      </c>
      <c r="U558" s="98">
        <v>239</v>
      </c>
      <c r="V558" s="98">
        <v>239</v>
      </c>
      <c r="W558" s="98">
        <v>227</v>
      </c>
      <c r="X558" s="98">
        <v>225</v>
      </c>
      <c r="Y558" s="98">
        <v>222</v>
      </c>
      <c r="Z558" s="98">
        <v>188</v>
      </c>
      <c r="AA558" s="98">
        <v>172</v>
      </c>
      <c r="AB558" s="98">
        <v>158</v>
      </c>
      <c r="AC558" s="98">
        <v>153</v>
      </c>
      <c r="AD558" s="98">
        <v>160</v>
      </c>
      <c r="AE558" s="98">
        <v>157</v>
      </c>
      <c r="AF558" s="98">
        <v>142</v>
      </c>
      <c r="AG558" s="98">
        <v>109</v>
      </c>
    </row>
    <row r="559" spans="1:33" x14ac:dyDescent="0.3">
      <c r="A559" s="7">
        <v>554</v>
      </c>
      <c r="B559" s="7" t="s">
        <v>877</v>
      </c>
      <c r="C559" s="7" t="s">
        <v>490</v>
      </c>
      <c r="D559" s="8">
        <f>'CDC Source Data'!D85</f>
        <v>181760</v>
      </c>
      <c r="E559" s="8">
        <f>'CDC Source Data'!E85</f>
        <v>16</v>
      </c>
      <c r="F559" s="31">
        <f t="shared" si="8"/>
        <v>8.8442152341201705</v>
      </c>
      <c r="G559" s="9">
        <f>'CDC Source Data'!F85</f>
        <v>0.08</v>
      </c>
      <c r="H559" s="7">
        <f>'CDC Source Data'!G85</f>
        <v>0</v>
      </c>
      <c r="I559" s="97">
        <v>14.3</v>
      </c>
      <c r="J559" s="97">
        <v>14.9</v>
      </c>
      <c r="K559" s="98">
        <v>15</v>
      </c>
      <c r="L559" s="98">
        <v>17</v>
      </c>
      <c r="M559" s="98">
        <v>17</v>
      </c>
      <c r="N559" s="98">
        <v>20</v>
      </c>
      <c r="O559" s="98">
        <v>18</v>
      </c>
      <c r="P559" s="98">
        <v>17</v>
      </c>
      <c r="Q559" s="98">
        <v>17</v>
      </c>
      <c r="R559" s="98">
        <v>20</v>
      </c>
      <c r="S559" s="98">
        <v>29</v>
      </c>
      <c r="T559" s="98">
        <v>33</v>
      </c>
      <c r="U559" s="98">
        <v>38</v>
      </c>
      <c r="V559" s="98">
        <v>34</v>
      </c>
      <c r="W559" s="98">
        <v>33</v>
      </c>
      <c r="X559" s="98">
        <v>31</v>
      </c>
      <c r="Y559" s="98">
        <v>30</v>
      </c>
      <c r="Z559" s="98">
        <v>35</v>
      </c>
      <c r="AA559" s="98">
        <v>33</v>
      </c>
      <c r="AB559" s="98">
        <v>33</v>
      </c>
      <c r="AC559" s="98">
        <v>34</v>
      </c>
      <c r="AD559" s="98">
        <v>31</v>
      </c>
      <c r="AE559" s="98">
        <v>26</v>
      </c>
      <c r="AF559" s="98">
        <v>24</v>
      </c>
      <c r="AG559" s="98">
        <v>16</v>
      </c>
    </row>
    <row r="560" spans="1:33" x14ac:dyDescent="0.3">
      <c r="A560" s="7">
        <v>555</v>
      </c>
      <c r="B560" s="7" t="s">
        <v>878</v>
      </c>
      <c r="C560" s="7" t="s">
        <v>604</v>
      </c>
      <c r="D560" s="8">
        <f>'CDC Source Data'!D475</f>
        <v>137044</v>
      </c>
      <c r="E560" s="8">
        <f>'CDC Source Data'!E475</f>
        <v>12</v>
      </c>
      <c r="F560" s="31">
        <f t="shared" si="8"/>
        <v>8.8028169014084519</v>
      </c>
      <c r="G560" s="9">
        <f>'CDC Source Data'!F475</f>
        <v>0</v>
      </c>
      <c r="H560" s="7" t="str">
        <f>'CDC Source Data'!G475</f>
        <v>Completeness of provisional 2019 data under 90% after 6 months.</v>
      </c>
      <c r="I560" s="97">
        <v>9.8000000000000007</v>
      </c>
      <c r="J560" s="97">
        <v>10.3</v>
      </c>
      <c r="K560" s="100"/>
      <c r="L560" s="98">
        <v>11</v>
      </c>
      <c r="M560" s="98">
        <v>12</v>
      </c>
      <c r="N560" s="98">
        <v>14</v>
      </c>
      <c r="O560" s="98">
        <v>12</v>
      </c>
      <c r="P560" s="98">
        <v>16</v>
      </c>
      <c r="Q560" s="98">
        <v>16</v>
      </c>
      <c r="R560" s="98">
        <v>15</v>
      </c>
      <c r="S560" s="98">
        <v>14</v>
      </c>
      <c r="T560" s="98">
        <v>17</v>
      </c>
      <c r="U560" s="98">
        <v>21</v>
      </c>
      <c r="V560" s="98">
        <v>24</v>
      </c>
      <c r="W560" s="98">
        <v>25</v>
      </c>
      <c r="X560" s="98">
        <v>22</v>
      </c>
      <c r="Y560" s="98">
        <v>19</v>
      </c>
      <c r="Z560" s="98">
        <v>21</v>
      </c>
      <c r="AA560" s="98">
        <v>21</v>
      </c>
      <c r="AB560" s="98">
        <v>18</v>
      </c>
      <c r="AC560" s="98">
        <v>18</v>
      </c>
      <c r="AD560" s="98">
        <v>14</v>
      </c>
      <c r="AE560" s="98">
        <v>16</v>
      </c>
      <c r="AF560" s="98">
        <v>14</v>
      </c>
      <c r="AG560" s="98">
        <v>12</v>
      </c>
    </row>
    <row r="561" spans="1:33" x14ac:dyDescent="0.3">
      <c r="A561" s="7">
        <v>556</v>
      </c>
      <c r="B561" s="7" t="s">
        <v>879</v>
      </c>
      <c r="C561" s="7" t="s">
        <v>604</v>
      </c>
      <c r="D561" s="8">
        <f>'CDC Source Data'!D217</f>
        <v>195166</v>
      </c>
      <c r="E561" s="8">
        <f>'CDC Source Data'!E217</f>
        <v>17</v>
      </c>
      <c r="F561" s="31">
        <f t="shared" si="8"/>
        <v>8.75631184145238</v>
      </c>
      <c r="G561" s="9">
        <f>'CDC Source Data'!F217</f>
        <v>0.13</v>
      </c>
      <c r="H561" s="7" t="str">
        <f>'CDC Source Data'!G217</f>
        <v>Completeness of provisional 2019 data under 90% after 6 months.</v>
      </c>
      <c r="I561" s="97">
        <v>9.6999999999999993</v>
      </c>
      <c r="J561" s="97">
        <v>10.199999999999999</v>
      </c>
      <c r="K561" s="98">
        <v>14</v>
      </c>
      <c r="L561" s="98">
        <v>15</v>
      </c>
      <c r="M561" s="98">
        <v>14</v>
      </c>
      <c r="N561" s="98">
        <v>17</v>
      </c>
      <c r="O561" s="98">
        <v>16</v>
      </c>
      <c r="P561" s="98">
        <v>14</v>
      </c>
      <c r="Q561" s="98">
        <v>17</v>
      </c>
      <c r="R561" s="98">
        <v>16</v>
      </c>
      <c r="S561" s="98">
        <v>15</v>
      </c>
      <c r="T561" s="98">
        <v>18</v>
      </c>
      <c r="U561" s="98">
        <v>18</v>
      </c>
      <c r="V561" s="98">
        <v>16</v>
      </c>
      <c r="W561" s="98">
        <v>16</v>
      </c>
      <c r="X561" s="98">
        <v>18</v>
      </c>
      <c r="Y561" s="98">
        <v>15</v>
      </c>
      <c r="Z561" s="98">
        <v>16</v>
      </c>
      <c r="AA561" s="98">
        <v>17</v>
      </c>
      <c r="AB561" s="98">
        <v>13</v>
      </c>
      <c r="AC561" s="98">
        <v>16</v>
      </c>
      <c r="AD561" s="98">
        <v>17</v>
      </c>
      <c r="AE561" s="98">
        <v>18</v>
      </c>
      <c r="AF561" s="98">
        <v>19</v>
      </c>
      <c r="AG561" s="98">
        <v>17</v>
      </c>
    </row>
    <row r="562" spans="1:33" x14ac:dyDescent="0.3">
      <c r="A562" s="7">
        <v>557</v>
      </c>
      <c r="B562" s="7" t="s">
        <v>880</v>
      </c>
      <c r="C562" s="7" t="s">
        <v>623</v>
      </c>
      <c r="D562" s="8">
        <f>'CDC Source Data'!D205</f>
        <v>126984</v>
      </c>
      <c r="E562" s="8">
        <f>'CDC Source Data'!E205</f>
        <v>11</v>
      </c>
      <c r="F562" s="31">
        <f t="shared" si="8"/>
        <v>8.7105335970404685</v>
      </c>
      <c r="G562" s="9">
        <f>'CDC Source Data'!F205</f>
        <v>0</v>
      </c>
      <c r="H562" s="7" t="str">
        <f>'CDC Source Data'!G205</f>
        <v>Completeness of provisional 2019 data under 90% after 6 months.</v>
      </c>
      <c r="I562" s="97">
        <v>8.6</v>
      </c>
      <c r="J562" s="97">
        <v>9</v>
      </c>
      <c r="K562" s="98">
        <v>11</v>
      </c>
      <c r="L562" s="98">
        <v>12</v>
      </c>
      <c r="M562" s="100"/>
      <c r="N562" s="100"/>
      <c r="O562" s="100"/>
      <c r="P562" s="100"/>
      <c r="Q562" s="100"/>
      <c r="R562" s="100"/>
      <c r="S562" s="100"/>
      <c r="T562" s="100"/>
      <c r="U562" s="98">
        <v>11</v>
      </c>
      <c r="V562" s="98">
        <v>13</v>
      </c>
      <c r="W562" s="98">
        <v>14</v>
      </c>
      <c r="X562" s="98">
        <v>15</v>
      </c>
      <c r="Y562" s="98">
        <v>13</v>
      </c>
      <c r="Z562" s="98">
        <v>16</v>
      </c>
      <c r="AA562" s="98">
        <v>17</v>
      </c>
      <c r="AB562" s="98">
        <v>17</v>
      </c>
      <c r="AC562" s="98">
        <v>17</v>
      </c>
      <c r="AD562" s="98">
        <v>16</v>
      </c>
      <c r="AE562" s="98">
        <v>13</v>
      </c>
      <c r="AF562" s="98">
        <v>13</v>
      </c>
      <c r="AG562" s="98">
        <v>11</v>
      </c>
    </row>
    <row r="563" spans="1:33" x14ac:dyDescent="0.3">
      <c r="A563" s="7">
        <v>558</v>
      </c>
      <c r="B563" s="7" t="s">
        <v>881</v>
      </c>
      <c r="C563" s="7" t="s">
        <v>237</v>
      </c>
      <c r="D563" s="8">
        <f>'CDC Source Data'!D388</f>
        <v>523053</v>
      </c>
      <c r="E563" s="8">
        <f>'CDC Source Data'!E388</f>
        <v>45</v>
      </c>
      <c r="F563" s="31">
        <f t="shared" si="8"/>
        <v>8.662508662508662</v>
      </c>
      <c r="G563" s="9">
        <f>'CDC Source Data'!F388</f>
        <v>7.0000000000000007E-2</v>
      </c>
      <c r="H563" s="7">
        <f>'CDC Source Data'!G388</f>
        <v>0</v>
      </c>
      <c r="I563" s="97">
        <v>14.3</v>
      </c>
      <c r="J563" s="97">
        <v>15</v>
      </c>
      <c r="K563" s="98">
        <v>111</v>
      </c>
      <c r="L563" s="98">
        <v>113</v>
      </c>
      <c r="M563" s="98">
        <v>106</v>
      </c>
      <c r="N563" s="98">
        <v>97</v>
      </c>
      <c r="O563" s="98">
        <v>94</v>
      </c>
      <c r="P563" s="98">
        <v>98</v>
      </c>
      <c r="Q563" s="98">
        <v>101</v>
      </c>
      <c r="R563" s="98">
        <v>98</v>
      </c>
      <c r="S563" s="98">
        <v>98</v>
      </c>
      <c r="T563" s="98">
        <v>88</v>
      </c>
      <c r="U563" s="98">
        <v>83</v>
      </c>
      <c r="V563" s="98">
        <v>85</v>
      </c>
      <c r="W563" s="98">
        <v>79</v>
      </c>
      <c r="X563" s="98">
        <v>75</v>
      </c>
      <c r="Y563" s="98">
        <v>72</v>
      </c>
      <c r="Z563" s="98">
        <v>68</v>
      </c>
      <c r="AA563" s="98">
        <v>75</v>
      </c>
      <c r="AB563" s="98">
        <v>69</v>
      </c>
      <c r="AC563" s="98">
        <v>67</v>
      </c>
      <c r="AD563" s="98">
        <v>66</v>
      </c>
      <c r="AE563" s="98">
        <v>57</v>
      </c>
      <c r="AF563" s="98">
        <v>49</v>
      </c>
      <c r="AG563" s="98">
        <v>45</v>
      </c>
    </row>
    <row r="564" spans="1:33" x14ac:dyDescent="0.3">
      <c r="A564" s="7">
        <v>559</v>
      </c>
      <c r="B564" s="7" t="s">
        <v>882</v>
      </c>
      <c r="C564" s="7" t="s">
        <v>627</v>
      </c>
      <c r="D564" s="8">
        <f>'CDC Source Data'!D503</f>
        <v>175601</v>
      </c>
      <c r="E564" s="8">
        <f>'CDC Source Data'!E503</f>
        <v>15</v>
      </c>
      <c r="F564" s="31">
        <f t="shared" si="8"/>
        <v>8.6033346525113128</v>
      </c>
      <c r="G564" s="9">
        <f>'CDC Source Data'!F503</f>
        <v>0</v>
      </c>
      <c r="H564" s="7">
        <f>'CDC Source Data'!G503</f>
        <v>0</v>
      </c>
      <c r="I564" s="97">
        <v>17.3</v>
      </c>
      <c r="J564" s="97">
        <v>18.100000000000001</v>
      </c>
      <c r="K564" s="98">
        <v>28</v>
      </c>
      <c r="L564" s="98">
        <v>23</v>
      </c>
      <c r="M564" s="98">
        <v>22</v>
      </c>
      <c r="N564" s="98">
        <v>24</v>
      </c>
      <c r="O564" s="98">
        <v>21</v>
      </c>
      <c r="P564" s="98">
        <v>27</v>
      </c>
      <c r="Q564" s="98">
        <v>32</v>
      </c>
      <c r="R564" s="98">
        <v>34</v>
      </c>
      <c r="S564" s="98">
        <v>41</v>
      </c>
      <c r="T564" s="98">
        <v>41</v>
      </c>
      <c r="U564" s="98">
        <v>35</v>
      </c>
      <c r="V564" s="98">
        <v>31</v>
      </c>
      <c r="W564" s="98">
        <v>29</v>
      </c>
      <c r="X564" s="98">
        <v>29</v>
      </c>
      <c r="Y564" s="98">
        <v>36</v>
      </c>
      <c r="Z564" s="98">
        <v>39</v>
      </c>
      <c r="AA564" s="98">
        <v>34</v>
      </c>
      <c r="AB564" s="98">
        <v>31</v>
      </c>
      <c r="AC564" s="98">
        <v>24</v>
      </c>
      <c r="AD564" s="98">
        <v>20</v>
      </c>
      <c r="AE564" s="98">
        <v>20</v>
      </c>
      <c r="AF564" s="98">
        <v>17</v>
      </c>
      <c r="AG564" s="98">
        <v>15</v>
      </c>
    </row>
    <row r="565" spans="1:33" x14ac:dyDescent="0.3">
      <c r="A565" s="7">
        <v>560</v>
      </c>
      <c r="B565" s="7" t="s">
        <v>883</v>
      </c>
      <c r="C565" s="7" t="s">
        <v>588</v>
      </c>
      <c r="D565" s="8">
        <f>'CDC Source Data'!D504</f>
        <v>130035</v>
      </c>
      <c r="E565" s="8">
        <f>'CDC Source Data'!E504</f>
        <v>11</v>
      </c>
      <c r="F565" s="31">
        <f t="shared" si="8"/>
        <v>8.5420925848941636</v>
      </c>
      <c r="G565" s="9">
        <f>'CDC Source Data'!F504</f>
        <v>0</v>
      </c>
      <c r="H565" s="7">
        <f>'CDC Source Data'!G504</f>
        <v>0</v>
      </c>
      <c r="I565" s="97">
        <v>20.100000000000001</v>
      </c>
      <c r="J565" s="97">
        <v>20.9</v>
      </c>
      <c r="K565" s="98">
        <v>12</v>
      </c>
      <c r="L565" s="98">
        <v>20</v>
      </c>
      <c r="M565" s="98">
        <v>21</v>
      </c>
      <c r="N565" s="98">
        <v>29</v>
      </c>
      <c r="O565" s="98">
        <v>32</v>
      </c>
      <c r="P565" s="98">
        <v>27</v>
      </c>
      <c r="Q565" s="98">
        <v>30</v>
      </c>
      <c r="R565" s="98">
        <v>28</v>
      </c>
      <c r="S565" s="98">
        <v>31</v>
      </c>
      <c r="T565" s="98">
        <v>38</v>
      </c>
      <c r="U565" s="98">
        <v>38</v>
      </c>
      <c r="V565" s="98">
        <v>37</v>
      </c>
      <c r="W565" s="98">
        <v>40</v>
      </c>
      <c r="X565" s="98">
        <v>37</v>
      </c>
      <c r="Y565" s="98">
        <v>33</v>
      </c>
      <c r="Z565" s="98">
        <v>29</v>
      </c>
      <c r="AA565" s="98">
        <v>25</v>
      </c>
      <c r="AB565" s="98">
        <v>22</v>
      </c>
      <c r="AC565" s="98">
        <v>17</v>
      </c>
      <c r="AD565" s="98">
        <v>16</v>
      </c>
      <c r="AE565" s="98">
        <v>11</v>
      </c>
      <c r="AF565" s="98">
        <v>10</v>
      </c>
      <c r="AG565" s="98">
        <v>11</v>
      </c>
    </row>
    <row r="566" spans="1:33" x14ac:dyDescent="0.3">
      <c r="A566" s="7">
        <v>561</v>
      </c>
      <c r="B566" s="7" t="s">
        <v>470</v>
      </c>
      <c r="C566" s="7" t="s">
        <v>35</v>
      </c>
      <c r="D566" s="8">
        <f>'CDC Source Data'!D222</f>
        <v>379704</v>
      </c>
      <c r="E566" s="8">
        <f>'CDC Source Data'!E222</f>
        <v>32</v>
      </c>
      <c r="F566" s="31">
        <f t="shared" si="8"/>
        <v>8.4592609682008693</v>
      </c>
      <c r="G566" s="9">
        <f>'CDC Source Data'!F222</f>
        <v>0</v>
      </c>
      <c r="H566" s="7" t="str">
        <f>'CDC Source Data'!G222</f>
        <v>Completeness of provisional 2019 data under 90% after 6 months.</v>
      </c>
      <c r="I566" s="97">
        <v>11.6</v>
      </c>
      <c r="J566" s="97">
        <v>12.1</v>
      </c>
      <c r="K566" s="98">
        <v>32</v>
      </c>
      <c r="L566" s="98">
        <v>42</v>
      </c>
      <c r="M566" s="98">
        <v>40</v>
      </c>
      <c r="N566" s="98">
        <v>47</v>
      </c>
      <c r="O566" s="98">
        <v>50</v>
      </c>
      <c r="P566" s="98">
        <v>47</v>
      </c>
      <c r="Q566" s="98">
        <v>52</v>
      </c>
      <c r="R566" s="98">
        <v>49</v>
      </c>
      <c r="S566" s="98">
        <v>48</v>
      </c>
      <c r="T566" s="98">
        <v>52</v>
      </c>
      <c r="U566" s="98">
        <v>59</v>
      </c>
      <c r="V566" s="98">
        <v>56</v>
      </c>
      <c r="W566" s="98">
        <v>56</v>
      </c>
      <c r="X566" s="98">
        <v>45</v>
      </c>
      <c r="Y566" s="98">
        <v>41</v>
      </c>
      <c r="Z566" s="98">
        <v>56</v>
      </c>
      <c r="AA566" s="98">
        <v>55</v>
      </c>
      <c r="AB566" s="98">
        <v>58</v>
      </c>
      <c r="AC566" s="98">
        <v>52</v>
      </c>
      <c r="AD566" s="98">
        <v>34</v>
      </c>
      <c r="AE566" s="98">
        <v>32</v>
      </c>
      <c r="AF566" s="98">
        <v>31</v>
      </c>
      <c r="AG566" s="98">
        <v>32</v>
      </c>
    </row>
    <row r="567" spans="1:33" x14ac:dyDescent="0.3">
      <c r="A567" s="7">
        <v>562</v>
      </c>
      <c r="B567" s="7" t="s">
        <v>502</v>
      </c>
      <c r="C567" s="7" t="s">
        <v>11</v>
      </c>
      <c r="D567" s="8">
        <f>'CDC Source Data'!D385</f>
        <v>1082273</v>
      </c>
      <c r="E567" s="8">
        <f>'CDC Source Data'!E385</f>
        <v>91</v>
      </c>
      <c r="F567" s="31">
        <f t="shared" si="8"/>
        <v>8.4276173018983211</v>
      </c>
      <c r="G567" s="9">
        <f>'CDC Source Data'!F385</f>
        <v>7.0000000000000007E-2</v>
      </c>
      <c r="H567" s="7">
        <f>'CDC Source Data'!G385</f>
        <v>0</v>
      </c>
      <c r="I567" s="97">
        <v>10</v>
      </c>
      <c r="J567" s="97">
        <v>10.5</v>
      </c>
      <c r="K567" s="98">
        <v>152</v>
      </c>
      <c r="L567" s="98">
        <v>163</v>
      </c>
      <c r="M567" s="98">
        <v>148</v>
      </c>
      <c r="N567" s="98">
        <v>147</v>
      </c>
      <c r="O567" s="98">
        <v>148</v>
      </c>
      <c r="P567" s="98">
        <v>152</v>
      </c>
      <c r="Q567" s="98">
        <v>159</v>
      </c>
      <c r="R567" s="98">
        <v>161</v>
      </c>
      <c r="S567" s="98">
        <v>164</v>
      </c>
      <c r="T567" s="98">
        <v>149</v>
      </c>
      <c r="U567" s="98">
        <v>146</v>
      </c>
      <c r="V567" s="98">
        <v>142</v>
      </c>
      <c r="W567" s="98">
        <v>148</v>
      </c>
      <c r="X567" s="98">
        <v>165</v>
      </c>
      <c r="Y567" s="98">
        <v>178</v>
      </c>
      <c r="Z567" s="98">
        <v>174</v>
      </c>
      <c r="AA567" s="98">
        <v>146</v>
      </c>
      <c r="AB567" s="98">
        <v>128</v>
      </c>
      <c r="AC567" s="98">
        <v>97</v>
      </c>
      <c r="AD567" s="98">
        <v>85</v>
      </c>
      <c r="AE567" s="98">
        <v>85</v>
      </c>
      <c r="AF567" s="98">
        <v>80</v>
      </c>
      <c r="AG567" s="98">
        <v>91</v>
      </c>
    </row>
    <row r="568" spans="1:33" x14ac:dyDescent="0.3">
      <c r="A568" s="7">
        <v>563</v>
      </c>
      <c r="B568" s="7" t="s">
        <v>884</v>
      </c>
      <c r="C568" s="7" t="s">
        <v>262</v>
      </c>
      <c r="D568" s="8">
        <f>'CDC Source Data'!D281</f>
        <v>143171</v>
      </c>
      <c r="E568" s="8">
        <f>'CDC Source Data'!E281</f>
        <v>12</v>
      </c>
      <c r="F568" s="31">
        <f t="shared" si="8"/>
        <v>8.4082297165317819</v>
      </c>
      <c r="G568" s="9">
        <f>'CDC Source Data'!F281</f>
        <v>0.13</v>
      </c>
      <c r="H568" s="7">
        <f>'CDC Source Data'!G281</f>
        <v>0</v>
      </c>
      <c r="I568" s="97">
        <v>12.8</v>
      </c>
      <c r="J568" s="97">
        <v>13.3</v>
      </c>
      <c r="K568" s="98">
        <v>13</v>
      </c>
      <c r="L568" s="98">
        <v>12</v>
      </c>
      <c r="M568" s="98">
        <v>16</v>
      </c>
      <c r="N568" s="98">
        <v>19</v>
      </c>
      <c r="O568" s="98">
        <v>16</v>
      </c>
      <c r="P568" s="98">
        <v>17</v>
      </c>
      <c r="Q568" s="98">
        <v>16</v>
      </c>
      <c r="R568" s="98">
        <v>14</v>
      </c>
      <c r="S568" s="98">
        <v>21</v>
      </c>
      <c r="T568" s="98">
        <v>22</v>
      </c>
      <c r="U568" s="98">
        <v>20</v>
      </c>
      <c r="V568" s="98">
        <v>22</v>
      </c>
      <c r="W568" s="98">
        <v>17</v>
      </c>
      <c r="X568" s="98">
        <v>23</v>
      </c>
      <c r="Y568" s="98">
        <v>23</v>
      </c>
      <c r="Z568" s="98">
        <v>21</v>
      </c>
      <c r="AA568" s="98">
        <v>21</v>
      </c>
      <c r="AB568" s="98">
        <v>12</v>
      </c>
      <c r="AC568" s="98">
        <v>11</v>
      </c>
      <c r="AD568" s="98">
        <v>12</v>
      </c>
      <c r="AE568" s="98">
        <v>14</v>
      </c>
      <c r="AF568" s="98">
        <v>13</v>
      </c>
      <c r="AG568" s="98">
        <v>12</v>
      </c>
    </row>
    <row r="569" spans="1:33" x14ac:dyDescent="0.3">
      <c r="A569" s="7">
        <v>564</v>
      </c>
      <c r="B569" s="7" t="s">
        <v>885</v>
      </c>
      <c r="C569" s="7" t="s">
        <v>447</v>
      </c>
      <c r="D569" s="8">
        <f>'CDC Source Data'!D613</f>
        <v>133077</v>
      </c>
      <c r="E569" s="8">
        <f>'CDC Source Data'!E613</f>
        <v>11</v>
      </c>
      <c r="F569" s="31">
        <f t="shared" si="8"/>
        <v>8.3815856563130797</v>
      </c>
      <c r="G569" s="9">
        <f>'CDC Source Data'!F613</f>
        <v>0.08</v>
      </c>
      <c r="H569" s="7" t="str">
        <f>'CDC Source Data'!G613</f>
        <v>Completeness of provisional 2019 data under 90% after 6 months.</v>
      </c>
      <c r="I569" s="97">
        <v>14.3</v>
      </c>
      <c r="J569" s="97">
        <v>14.9</v>
      </c>
      <c r="K569" s="98">
        <v>28</v>
      </c>
      <c r="L569" s="98">
        <v>27</v>
      </c>
      <c r="M569" s="98">
        <v>26</v>
      </c>
      <c r="N569" s="98">
        <v>28</v>
      </c>
      <c r="O569" s="98">
        <v>33</v>
      </c>
      <c r="P569" s="98">
        <v>33</v>
      </c>
      <c r="Q569" s="98">
        <v>32</v>
      </c>
      <c r="R569" s="98">
        <v>31</v>
      </c>
      <c r="S569" s="98">
        <v>23</v>
      </c>
      <c r="T569" s="98">
        <v>21</v>
      </c>
      <c r="U569" s="98">
        <v>21</v>
      </c>
      <c r="V569" s="98">
        <v>19</v>
      </c>
      <c r="W569" s="98">
        <v>20</v>
      </c>
      <c r="X569" s="98">
        <v>19</v>
      </c>
      <c r="Y569" s="98">
        <v>22</v>
      </c>
      <c r="Z569" s="98">
        <v>21</v>
      </c>
      <c r="AA569" s="98">
        <v>23</v>
      </c>
      <c r="AB569" s="98">
        <v>21</v>
      </c>
      <c r="AC569" s="98">
        <v>12</v>
      </c>
      <c r="AD569" s="98">
        <v>14</v>
      </c>
      <c r="AE569" s="98"/>
      <c r="AF569" s="98"/>
      <c r="AG569" s="98">
        <v>11</v>
      </c>
    </row>
    <row r="570" spans="1:33" x14ac:dyDescent="0.3">
      <c r="A570" s="7">
        <v>565</v>
      </c>
      <c r="B570" s="7" t="s">
        <v>553</v>
      </c>
      <c r="C570" s="7" t="s">
        <v>32</v>
      </c>
      <c r="D570" s="8">
        <f>'CDC Source Data'!D393</f>
        <v>1392438</v>
      </c>
      <c r="E570" s="8">
        <f>'CDC Source Data'!E393</f>
        <v>112</v>
      </c>
      <c r="F570" s="31">
        <f t="shared" si="8"/>
        <v>8.2658911757854465</v>
      </c>
      <c r="G570" s="9">
        <f>'CDC Source Data'!F393</f>
        <v>0.84</v>
      </c>
      <c r="H570" s="7" t="str">
        <f>'CDC Source Data'!G393</f>
        <v>Completeness of provisional 2019 data under 90% after 6 months.</v>
      </c>
      <c r="I570" s="97">
        <v>14.6</v>
      </c>
      <c r="J570" s="97">
        <v>15.2</v>
      </c>
      <c r="K570" s="98">
        <v>219</v>
      </c>
      <c r="L570" s="98">
        <v>245</v>
      </c>
      <c r="M570" s="98">
        <v>258</v>
      </c>
      <c r="N570" s="98">
        <v>265</v>
      </c>
      <c r="O570" s="98">
        <v>267</v>
      </c>
      <c r="P570" s="98">
        <v>267</v>
      </c>
      <c r="Q570" s="98">
        <v>272</v>
      </c>
      <c r="R570" s="98">
        <v>278</v>
      </c>
      <c r="S570" s="98">
        <v>276</v>
      </c>
      <c r="T570" s="98">
        <v>275</v>
      </c>
      <c r="U570" s="98">
        <v>255</v>
      </c>
      <c r="V570" s="98">
        <v>250</v>
      </c>
      <c r="W570" s="98">
        <v>235</v>
      </c>
      <c r="X570" s="98">
        <v>225</v>
      </c>
      <c r="Y570" s="98">
        <v>230</v>
      </c>
      <c r="Z570" s="98">
        <v>209</v>
      </c>
      <c r="AA570" s="98">
        <v>201</v>
      </c>
      <c r="AB570" s="98">
        <v>197</v>
      </c>
      <c r="AC570" s="98">
        <v>187</v>
      </c>
      <c r="AD570" s="98">
        <v>177</v>
      </c>
      <c r="AE570" s="98">
        <v>167</v>
      </c>
      <c r="AF570" s="98">
        <v>138</v>
      </c>
      <c r="AG570" s="98">
        <v>112</v>
      </c>
    </row>
    <row r="571" spans="1:33" x14ac:dyDescent="0.3">
      <c r="A571" s="7">
        <v>566</v>
      </c>
      <c r="B571" s="7" t="s">
        <v>886</v>
      </c>
      <c r="C571" s="7" t="s">
        <v>262</v>
      </c>
      <c r="D571" s="8">
        <f>'CDC Source Data'!D165</f>
        <v>937142</v>
      </c>
      <c r="E571" s="8">
        <f>'CDC Source Data'!E165</f>
        <v>75</v>
      </c>
      <c r="F571" s="31">
        <f t="shared" si="8"/>
        <v>8.0434460995749895</v>
      </c>
      <c r="G571" s="9">
        <f>'CDC Source Data'!F165</f>
        <v>0.1</v>
      </c>
      <c r="H571" s="7">
        <f>'CDC Source Data'!G165</f>
        <v>0</v>
      </c>
      <c r="I571" s="97">
        <v>14.1</v>
      </c>
      <c r="J571" s="97">
        <v>14.7</v>
      </c>
      <c r="K571" s="98">
        <v>130</v>
      </c>
      <c r="L571" s="98">
        <v>156</v>
      </c>
      <c r="M571" s="98">
        <v>160</v>
      </c>
      <c r="N571" s="98">
        <v>156</v>
      </c>
      <c r="O571" s="98">
        <v>162</v>
      </c>
      <c r="P571" s="98">
        <v>143</v>
      </c>
      <c r="Q571" s="98">
        <v>138</v>
      </c>
      <c r="R571" s="98">
        <v>147</v>
      </c>
      <c r="S571" s="98">
        <v>154</v>
      </c>
      <c r="T571" s="98">
        <v>153</v>
      </c>
      <c r="U571" s="98">
        <v>157</v>
      </c>
      <c r="V571" s="98">
        <v>154</v>
      </c>
      <c r="W571" s="98">
        <v>140</v>
      </c>
      <c r="X571" s="98">
        <v>141</v>
      </c>
      <c r="Y571" s="98">
        <v>138</v>
      </c>
      <c r="Z571" s="98">
        <v>132</v>
      </c>
      <c r="AA571" s="98">
        <v>136</v>
      </c>
      <c r="AB571" s="98">
        <v>109</v>
      </c>
      <c r="AC571" s="98">
        <v>95</v>
      </c>
      <c r="AD571" s="98">
        <v>77</v>
      </c>
      <c r="AE571" s="98">
        <v>70</v>
      </c>
      <c r="AF571" s="98">
        <v>75</v>
      </c>
      <c r="AG571" s="98">
        <v>75</v>
      </c>
    </row>
    <row r="572" spans="1:33" x14ac:dyDescent="0.3">
      <c r="A572" s="7">
        <v>567</v>
      </c>
      <c r="B572" s="7" t="s">
        <v>736</v>
      </c>
      <c r="C572" s="7" t="s">
        <v>467</v>
      </c>
      <c r="D572" s="8">
        <f>'CDC Source Data'!D420</f>
        <v>152877</v>
      </c>
      <c r="E572" s="8">
        <f>'CDC Source Data'!E420</f>
        <v>12</v>
      </c>
      <c r="F572" s="31">
        <f t="shared" si="8"/>
        <v>8.0030561003561882</v>
      </c>
      <c r="G572" s="9">
        <f>'CDC Source Data'!F420</f>
        <v>1.17</v>
      </c>
      <c r="H572" s="7" t="str">
        <f>'CDC Source Data'!G420</f>
        <v>Completeness of provisional 2019 data under 90% after 6 months.</v>
      </c>
      <c r="I572" s="97">
        <v>13.2</v>
      </c>
      <c r="J572" s="97">
        <v>13.8</v>
      </c>
      <c r="K572" s="98">
        <v>15</v>
      </c>
      <c r="L572" s="98">
        <v>20</v>
      </c>
      <c r="M572" s="98">
        <v>23</v>
      </c>
      <c r="N572" s="98">
        <v>22</v>
      </c>
      <c r="O572" s="98">
        <v>26</v>
      </c>
      <c r="P572" s="98">
        <v>23</v>
      </c>
      <c r="Q572" s="98">
        <v>22</v>
      </c>
      <c r="R572" s="98">
        <v>30</v>
      </c>
      <c r="S572" s="98">
        <v>28</v>
      </c>
      <c r="T572" s="98">
        <v>32</v>
      </c>
      <c r="U572" s="98">
        <v>38</v>
      </c>
      <c r="V572" s="98">
        <v>36</v>
      </c>
      <c r="W572" s="98">
        <v>37</v>
      </c>
      <c r="X572" s="98">
        <v>31</v>
      </c>
      <c r="Y572" s="98">
        <v>29</v>
      </c>
      <c r="Z572" s="98">
        <v>22</v>
      </c>
      <c r="AA572" s="98">
        <v>16</v>
      </c>
      <c r="AB572" s="98">
        <v>15</v>
      </c>
      <c r="AC572" s="98">
        <v>14</v>
      </c>
      <c r="AD572" s="98">
        <v>17</v>
      </c>
      <c r="AE572" s="98">
        <v>17</v>
      </c>
      <c r="AF572" s="98">
        <v>15</v>
      </c>
      <c r="AG572" s="98">
        <v>12</v>
      </c>
    </row>
    <row r="573" spans="1:33" x14ac:dyDescent="0.3">
      <c r="A573" s="7">
        <v>568</v>
      </c>
      <c r="B573" s="7" t="s">
        <v>887</v>
      </c>
      <c r="C573" s="7" t="s">
        <v>239</v>
      </c>
      <c r="D573" s="8">
        <f>'CDC Source Data'!D537</f>
        <v>168919</v>
      </c>
      <c r="E573" s="8">
        <f>'CDC Source Data'!E537</f>
        <v>13</v>
      </c>
      <c r="F573" s="31">
        <f t="shared" si="8"/>
        <v>7.8494475951254925</v>
      </c>
      <c r="G573" s="9">
        <f>'CDC Source Data'!F537</f>
        <v>0</v>
      </c>
      <c r="H573" s="7">
        <f>'CDC Source Data'!G537</f>
        <v>0</v>
      </c>
      <c r="I573" s="97">
        <v>15.1</v>
      </c>
      <c r="J573" s="97">
        <v>15.7</v>
      </c>
      <c r="K573" s="98">
        <v>36</v>
      </c>
      <c r="L573" s="98">
        <v>45</v>
      </c>
      <c r="M573" s="98">
        <v>42</v>
      </c>
      <c r="N573" s="98">
        <v>38</v>
      </c>
      <c r="O573" s="98">
        <v>39</v>
      </c>
      <c r="P573" s="98">
        <v>32</v>
      </c>
      <c r="Q573" s="98">
        <v>36</v>
      </c>
      <c r="R573" s="98">
        <v>40</v>
      </c>
      <c r="S573" s="98">
        <v>37</v>
      </c>
      <c r="T573" s="98">
        <v>39</v>
      </c>
      <c r="U573" s="98">
        <v>37</v>
      </c>
      <c r="V573" s="98">
        <v>38</v>
      </c>
      <c r="W573" s="98">
        <v>37</v>
      </c>
      <c r="X573" s="98">
        <v>31</v>
      </c>
      <c r="Y573" s="98">
        <v>34</v>
      </c>
      <c r="Z573" s="98">
        <v>34</v>
      </c>
      <c r="AA573" s="98">
        <v>35</v>
      </c>
      <c r="AB573" s="98">
        <v>43</v>
      </c>
      <c r="AC573" s="98">
        <v>39</v>
      </c>
      <c r="AD573" s="98">
        <v>33</v>
      </c>
      <c r="AE573" s="98">
        <v>28</v>
      </c>
      <c r="AF573" s="98">
        <v>19</v>
      </c>
      <c r="AG573" s="98">
        <v>13</v>
      </c>
    </row>
    <row r="574" spans="1:33" x14ac:dyDescent="0.3">
      <c r="A574" s="7">
        <v>569</v>
      </c>
      <c r="B574" s="7" t="s">
        <v>888</v>
      </c>
      <c r="C574" s="7" t="s">
        <v>604</v>
      </c>
      <c r="D574" s="8">
        <f>'CDC Source Data'!D84</f>
        <v>431874</v>
      </c>
      <c r="E574" s="8">
        <f>'CDC Source Data'!E84</f>
        <v>33</v>
      </c>
      <c r="F574" s="31">
        <f t="shared" si="8"/>
        <v>7.6959963059217733</v>
      </c>
      <c r="G574" s="9">
        <f>'CDC Source Data'!F84</f>
        <v>0.23</v>
      </c>
      <c r="H574" s="7" t="str">
        <f>'CDC Source Data'!G84</f>
        <v>Completeness of provisional 2019 data under 90% after 6 months.</v>
      </c>
      <c r="I574" s="97">
        <v>5.5</v>
      </c>
      <c r="J574" s="97">
        <v>5.8</v>
      </c>
      <c r="K574" s="98">
        <v>23</v>
      </c>
      <c r="L574" s="98">
        <v>19</v>
      </c>
      <c r="M574" s="98">
        <v>19</v>
      </c>
      <c r="N574" s="98">
        <v>19</v>
      </c>
      <c r="O574" s="98">
        <v>24</v>
      </c>
      <c r="P574" s="98">
        <v>27</v>
      </c>
      <c r="Q574" s="98">
        <v>25</v>
      </c>
      <c r="R574" s="98">
        <v>26</v>
      </c>
      <c r="S574" s="98">
        <v>27</v>
      </c>
      <c r="T574" s="98">
        <v>26</v>
      </c>
      <c r="U574" s="98">
        <v>26</v>
      </c>
      <c r="V574" s="98">
        <v>32</v>
      </c>
      <c r="W574" s="98">
        <v>34</v>
      </c>
      <c r="X574" s="98">
        <v>37</v>
      </c>
      <c r="Y574" s="98">
        <v>42</v>
      </c>
      <c r="Z574" s="98">
        <v>45</v>
      </c>
      <c r="AA574" s="98">
        <v>39</v>
      </c>
      <c r="AB574" s="98">
        <v>42</v>
      </c>
      <c r="AC574" s="98">
        <v>34</v>
      </c>
      <c r="AD574" s="98">
        <v>32</v>
      </c>
      <c r="AE574" s="98">
        <v>35</v>
      </c>
      <c r="AF574" s="98">
        <v>33</v>
      </c>
      <c r="AG574" s="98">
        <v>33</v>
      </c>
    </row>
    <row r="575" spans="1:33" x14ac:dyDescent="0.3">
      <c r="A575" s="7">
        <v>570</v>
      </c>
      <c r="B575" s="7" t="s">
        <v>491</v>
      </c>
      <c r="C575" s="7" t="s">
        <v>19</v>
      </c>
      <c r="D575" s="8">
        <f>'CDC Source Data'!D306</f>
        <v>563293</v>
      </c>
      <c r="E575" s="8">
        <f>'CDC Source Data'!E306</f>
        <v>43</v>
      </c>
      <c r="F575" s="31">
        <f t="shared" si="8"/>
        <v>7.6411175481737725</v>
      </c>
      <c r="G575" s="9">
        <f>'CDC Source Data'!F306</f>
        <v>0.02</v>
      </c>
      <c r="H575" s="7" t="str">
        <f>'CDC Source Data'!G306</f>
        <v>Completeness of provisional 2019 data under 90% after 6 months.</v>
      </c>
      <c r="I575" s="97">
        <v>18.899999999999999</v>
      </c>
      <c r="J575" s="97">
        <v>19.8</v>
      </c>
      <c r="K575" s="98">
        <v>130</v>
      </c>
      <c r="L575" s="98">
        <v>128</v>
      </c>
      <c r="M575" s="98">
        <v>136</v>
      </c>
      <c r="N575" s="98">
        <v>148</v>
      </c>
      <c r="O575" s="98">
        <v>147</v>
      </c>
      <c r="P575" s="98">
        <v>154</v>
      </c>
      <c r="Q575" s="98">
        <v>160</v>
      </c>
      <c r="R575" s="98">
        <v>152</v>
      </c>
      <c r="S575" s="98">
        <v>145</v>
      </c>
      <c r="T575" s="98">
        <v>138</v>
      </c>
      <c r="U575" s="98">
        <v>121</v>
      </c>
      <c r="V575" s="98">
        <v>121</v>
      </c>
      <c r="W575" s="98">
        <v>110</v>
      </c>
      <c r="X575" s="98">
        <v>102</v>
      </c>
      <c r="Y575" s="98">
        <v>97</v>
      </c>
      <c r="Z575" s="98">
        <v>91</v>
      </c>
      <c r="AA575" s="98">
        <v>82</v>
      </c>
      <c r="AB575" s="98">
        <v>84</v>
      </c>
      <c r="AC575" s="98">
        <v>87</v>
      </c>
      <c r="AD575" s="98">
        <v>77</v>
      </c>
      <c r="AE575" s="98">
        <v>70</v>
      </c>
      <c r="AF575" s="98">
        <v>54</v>
      </c>
      <c r="AG575" s="98">
        <v>43</v>
      </c>
    </row>
    <row r="576" spans="1:33" x14ac:dyDescent="0.3">
      <c r="A576" s="7">
        <v>571</v>
      </c>
      <c r="B576" s="7" t="s">
        <v>889</v>
      </c>
      <c r="C576" s="7" t="s">
        <v>572</v>
      </c>
      <c r="D576" s="8">
        <f>'CDC Source Data'!D77</f>
        <v>145487</v>
      </c>
      <c r="E576" s="8">
        <f>'CDC Source Data'!E77</f>
        <v>11</v>
      </c>
      <c r="F576" s="31">
        <f t="shared" si="8"/>
        <v>7.6336826482842852</v>
      </c>
      <c r="G576" s="9">
        <f>'CDC Source Data'!F77</f>
        <v>0.13</v>
      </c>
      <c r="H576" s="7">
        <f>'CDC Source Data'!G77</f>
        <v>0</v>
      </c>
      <c r="I576" s="97">
        <v>13.1</v>
      </c>
      <c r="J576" s="97">
        <v>13.7</v>
      </c>
      <c r="K576" s="98">
        <v>11</v>
      </c>
      <c r="L576" s="98">
        <v>13</v>
      </c>
      <c r="M576" s="98">
        <v>15</v>
      </c>
      <c r="N576" s="98">
        <v>13</v>
      </c>
      <c r="O576" s="98">
        <v>11</v>
      </c>
      <c r="P576" s="98">
        <v>13</v>
      </c>
      <c r="Q576" s="98">
        <v>14</v>
      </c>
      <c r="R576" s="98">
        <v>13</v>
      </c>
      <c r="S576" s="98">
        <v>15</v>
      </c>
      <c r="T576" s="98">
        <v>13</v>
      </c>
      <c r="U576" s="98">
        <v>13</v>
      </c>
      <c r="V576" s="98">
        <v>14</v>
      </c>
      <c r="W576" s="98">
        <v>15</v>
      </c>
      <c r="X576" s="98">
        <v>14</v>
      </c>
      <c r="Y576" s="98">
        <v>12</v>
      </c>
      <c r="Z576" s="98">
        <v>11</v>
      </c>
      <c r="AA576" s="98">
        <v>14</v>
      </c>
      <c r="AB576" s="98">
        <v>15</v>
      </c>
      <c r="AC576" s="98">
        <v>17</v>
      </c>
      <c r="AD576" s="98">
        <v>19</v>
      </c>
      <c r="AE576" s="98">
        <v>15</v>
      </c>
      <c r="AF576" s="98">
        <v>14</v>
      </c>
      <c r="AG576" s="98">
        <v>11</v>
      </c>
    </row>
    <row r="577" spans="1:33" x14ac:dyDescent="0.3">
      <c r="A577" s="7">
        <v>572</v>
      </c>
      <c r="B577" s="7" t="s">
        <v>491</v>
      </c>
      <c r="C577" s="7" t="s">
        <v>868</v>
      </c>
      <c r="D577" s="8">
        <f>'CDC Source Data'!D305</f>
        <v>332857</v>
      </c>
      <c r="E577" s="8">
        <f>'CDC Source Data'!E305</f>
        <v>25</v>
      </c>
      <c r="F577" s="31">
        <f t="shared" si="8"/>
        <v>7.5608129936008019</v>
      </c>
      <c r="G577" s="9">
        <f>'CDC Source Data'!F305</f>
        <v>0.08</v>
      </c>
      <c r="H577" s="7" t="str">
        <f>'CDC Source Data'!G305</f>
        <v>Completeness of provisional 2019 data under 90% after 6 months.</v>
      </c>
      <c r="I577" s="97">
        <v>9.9</v>
      </c>
      <c r="J577" s="97">
        <v>10.4</v>
      </c>
      <c r="K577" s="98">
        <v>27</v>
      </c>
      <c r="L577" s="98">
        <v>38</v>
      </c>
      <c r="M577" s="98">
        <v>45</v>
      </c>
      <c r="N577" s="98">
        <v>50</v>
      </c>
      <c r="O577" s="98">
        <v>50</v>
      </c>
      <c r="P577" s="98">
        <v>49</v>
      </c>
      <c r="Q577" s="98">
        <v>52</v>
      </c>
      <c r="R577" s="98">
        <v>48</v>
      </c>
      <c r="S577" s="98">
        <v>47</v>
      </c>
      <c r="T577" s="98">
        <v>44</v>
      </c>
      <c r="U577" s="98">
        <v>33</v>
      </c>
      <c r="V577" s="98">
        <v>37</v>
      </c>
      <c r="W577" s="98">
        <v>38</v>
      </c>
      <c r="X577" s="98">
        <v>32</v>
      </c>
      <c r="Y577" s="98">
        <v>37</v>
      </c>
      <c r="Z577" s="98">
        <v>28</v>
      </c>
      <c r="AA577" s="98">
        <v>26</v>
      </c>
      <c r="AB577" s="98">
        <v>28</v>
      </c>
      <c r="AC577" s="98">
        <v>23</v>
      </c>
      <c r="AD577" s="98">
        <v>23</v>
      </c>
      <c r="AE577" s="98">
        <v>20</v>
      </c>
      <c r="AF577" s="98">
        <v>21</v>
      </c>
      <c r="AG577" s="98">
        <v>25</v>
      </c>
    </row>
    <row r="578" spans="1:33" x14ac:dyDescent="0.3">
      <c r="A578" s="7">
        <v>573</v>
      </c>
      <c r="B578" s="7" t="s">
        <v>890</v>
      </c>
      <c r="C578" s="7" t="s">
        <v>447</v>
      </c>
      <c r="D578" s="8">
        <f>'CDC Source Data'!D357</f>
        <v>184625</v>
      </c>
      <c r="E578" s="8">
        <f>'CDC Source Data'!E357</f>
        <v>13</v>
      </c>
      <c r="F578" s="31">
        <f t="shared" si="8"/>
        <v>7.5107328372243929</v>
      </c>
      <c r="G578" s="9">
        <f>'CDC Source Data'!F357</f>
        <v>0</v>
      </c>
      <c r="H578" s="7" t="str">
        <f>'CDC Source Data'!G357</f>
        <v>Completeness of provisional 2019 data under 90% after 6 months.</v>
      </c>
      <c r="I578" s="97">
        <v>16.399999999999999</v>
      </c>
      <c r="J578" s="97">
        <v>17.100000000000001</v>
      </c>
      <c r="K578" s="98">
        <v>29</v>
      </c>
      <c r="L578" s="98">
        <v>37</v>
      </c>
      <c r="M578" s="98">
        <v>37</v>
      </c>
      <c r="N578" s="98">
        <v>39</v>
      </c>
      <c r="O578" s="98">
        <v>34</v>
      </c>
      <c r="P578" s="98">
        <v>30</v>
      </c>
      <c r="Q578" s="98">
        <v>37</v>
      </c>
      <c r="R578" s="98">
        <v>38</v>
      </c>
      <c r="S578" s="98">
        <v>34</v>
      </c>
      <c r="T578" s="98">
        <v>39</v>
      </c>
      <c r="U578" s="98">
        <v>32</v>
      </c>
      <c r="V578" s="98">
        <v>27</v>
      </c>
      <c r="W578" s="98">
        <v>36</v>
      </c>
      <c r="X578" s="98">
        <v>25</v>
      </c>
      <c r="Y578" s="98">
        <v>25</v>
      </c>
      <c r="Z578" s="98">
        <v>29</v>
      </c>
      <c r="AA578" s="98">
        <v>20</v>
      </c>
      <c r="AB578" s="98">
        <v>27</v>
      </c>
      <c r="AC578" s="98">
        <v>30</v>
      </c>
      <c r="AD578" s="98">
        <v>24</v>
      </c>
      <c r="AE578" s="98">
        <v>27</v>
      </c>
      <c r="AF578" s="98">
        <v>22</v>
      </c>
      <c r="AG578" s="98">
        <v>13</v>
      </c>
    </row>
    <row r="579" spans="1:33" x14ac:dyDescent="0.3">
      <c r="A579" s="7">
        <v>574</v>
      </c>
      <c r="B579" s="7" t="s">
        <v>891</v>
      </c>
      <c r="C579" s="7" t="s">
        <v>604</v>
      </c>
      <c r="D579" s="8">
        <f>'CDC Source Data'!D124</f>
        <v>1254658</v>
      </c>
      <c r="E579" s="8">
        <f>'CDC Source Data'!E124</f>
        <v>87</v>
      </c>
      <c r="F579" s="31">
        <f t="shared" si="8"/>
        <v>7.0412999322951935</v>
      </c>
      <c r="G579" s="9">
        <f>'CDC Source Data'!F124</f>
        <v>0.02</v>
      </c>
      <c r="H579" s="7" t="str">
        <f>'CDC Source Data'!G124</f>
        <v>Completeness of provisional 2019 data under 90% after 6 months.</v>
      </c>
      <c r="I579" s="97">
        <v>9.1</v>
      </c>
      <c r="J579" s="97">
        <v>9.5</v>
      </c>
      <c r="K579" s="98">
        <v>75</v>
      </c>
      <c r="L579" s="98">
        <v>75</v>
      </c>
      <c r="M579" s="98">
        <v>89</v>
      </c>
      <c r="N579" s="98">
        <v>99</v>
      </c>
      <c r="O579" s="98">
        <v>100</v>
      </c>
      <c r="P579" s="98">
        <v>107</v>
      </c>
      <c r="Q579" s="98">
        <v>101</v>
      </c>
      <c r="R579" s="98">
        <v>116</v>
      </c>
      <c r="S579" s="98">
        <v>126</v>
      </c>
      <c r="T579" s="98">
        <v>117</v>
      </c>
      <c r="U579" s="98">
        <v>133</v>
      </c>
      <c r="V579" s="98">
        <v>121</v>
      </c>
      <c r="W579" s="98">
        <v>125</v>
      </c>
      <c r="X579" s="98">
        <v>126</v>
      </c>
      <c r="Y579" s="98">
        <v>120</v>
      </c>
      <c r="Z579" s="98">
        <v>119</v>
      </c>
      <c r="AA579" s="98">
        <v>114</v>
      </c>
      <c r="AB579" s="98">
        <v>122</v>
      </c>
      <c r="AC579" s="98">
        <v>112</v>
      </c>
      <c r="AD579" s="98">
        <v>100</v>
      </c>
      <c r="AE579" s="98">
        <v>92</v>
      </c>
      <c r="AF579" s="98">
        <v>88</v>
      </c>
      <c r="AG579" s="98">
        <v>87</v>
      </c>
    </row>
    <row r="580" spans="1:33" x14ac:dyDescent="0.3">
      <c r="A580" s="7">
        <v>575</v>
      </c>
      <c r="B580" s="7" t="s">
        <v>892</v>
      </c>
      <c r="C580" s="7" t="s">
        <v>604</v>
      </c>
      <c r="D580" s="8">
        <f>'CDC Source Data'!D515</f>
        <v>249091</v>
      </c>
      <c r="E580" s="8">
        <f>'CDC Source Data'!E515</f>
        <v>16</v>
      </c>
      <c r="F580" s="31">
        <f t="shared" si="8"/>
        <v>6.9341605441482859</v>
      </c>
      <c r="G580" s="9">
        <f>'CDC Source Data'!F515</f>
        <v>0.04</v>
      </c>
      <c r="H580" s="7">
        <f>'CDC Source Data'!G515</f>
        <v>0</v>
      </c>
      <c r="I580" s="97">
        <v>12.1</v>
      </c>
      <c r="J580" s="97">
        <v>12.6</v>
      </c>
      <c r="K580" s="98">
        <v>25</v>
      </c>
      <c r="L580" s="98">
        <v>25</v>
      </c>
      <c r="M580" s="98">
        <v>19</v>
      </c>
      <c r="N580" s="98">
        <v>21</v>
      </c>
      <c r="O580" s="98">
        <v>19</v>
      </c>
      <c r="P580" s="98">
        <v>19</v>
      </c>
      <c r="Q580" s="98">
        <v>21</v>
      </c>
      <c r="R580" s="98">
        <v>22</v>
      </c>
      <c r="S580" s="98">
        <v>29</v>
      </c>
      <c r="T580" s="98">
        <v>31</v>
      </c>
      <c r="U580" s="98">
        <v>31</v>
      </c>
      <c r="V580" s="98">
        <v>30</v>
      </c>
      <c r="W580" s="98">
        <v>28</v>
      </c>
      <c r="X580" s="98">
        <v>28</v>
      </c>
      <c r="Y580" s="98">
        <v>24</v>
      </c>
      <c r="Z580" s="98">
        <v>23</v>
      </c>
      <c r="AA580" s="98">
        <v>24</v>
      </c>
      <c r="AB580" s="98">
        <v>26</v>
      </c>
      <c r="AC580" s="98">
        <v>35</v>
      </c>
      <c r="AD580" s="98">
        <v>36</v>
      </c>
      <c r="AE580" s="98">
        <v>26</v>
      </c>
      <c r="AF580" s="98">
        <v>23</v>
      </c>
      <c r="AG580" s="98">
        <v>16</v>
      </c>
    </row>
    <row r="581" spans="1:33" x14ac:dyDescent="0.3">
      <c r="A581" s="7">
        <v>576</v>
      </c>
      <c r="B581" s="7" t="s">
        <v>893</v>
      </c>
      <c r="C581" s="7" t="s">
        <v>11</v>
      </c>
      <c r="D581" s="8">
        <f>'CDC Source Data'!D202</f>
        <v>299317</v>
      </c>
      <c r="E581" s="8">
        <f>'CDC Source Data'!E202</f>
        <v>19</v>
      </c>
      <c r="F581" s="31">
        <f t="shared" si="8"/>
        <v>6.4233553199433144</v>
      </c>
      <c r="G581" s="9">
        <f>'CDC Source Data'!F202</f>
        <v>0.05</v>
      </c>
      <c r="H581" s="7">
        <f>'CDC Source Data'!G202</f>
        <v>0</v>
      </c>
      <c r="I581" s="97">
        <v>21.7</v>
      </c>
      <c r="J581" s="97">
        <v>22.6</v>
      </c>
      <c r="K581" s="98">
        <v>68</v>
      </c>
      <c r="L581" s="98">
        <v>80</v>
      </c>
      <c r="M581" s="98">
        <v>80</v>
      </c>
      <c r="N581" s="98">
        <v>79</v>
      </c>
      <c r="O581" s="98">
        <v>71</v>
      </c>
      <c r="P581" s="98">
        <v>56</v>
      </c>
      <c r="Q581" s="98">
        <v>53</v>
      </c>
      <c r="R581" s="98">
        <v>52</v>
      </c>
      <c r="S581" s="98">
        <v>61</v>
      </c>
      <c r="T581" s="98">
        <v>66</v>
      </c>
      <c r="U581" s="98">
        <v>62</v>
      </c>
      <c r="V581" s="98">
        <v>70</v>
      </c>
      <c r="W581" s="98">
        <v>63</v>
      </c>
      <c r="X581" s="98">
        <v>56</v>
      </c>
      <c r="Y581" s="98">
        <v>62</v>
      </c>
      <c r="Z581" s="98">
        <v>58</v>
      </c>
      <c r="AA581" s="98">
        <v>53</v>
      </c>
      <c r="AB581" s="98">
        <v>54</v>
      </c>
      <c r="AC581" s="98">
        <v>48</v>
      </c>
      <c r="AD581" s="98">
        <v>40</v>
      </c>
      <c r="AE581" s="98">
        <v>35</v>
      </c>
      <c r="AF581" s="98">
        <v>26</v>
      </c>
      <c r="AG581" s="98">
        <v>19</v>
      </c>
    </row>
    <row r="582" spans="1:33" x14ac:dyDescent="0.3">
      <c r="A582" s="7">
        <v>577</v>
      </c>
      <c r="B582" s="7" t="s">
        <v>894</v>
      </c>
      <c r="C582" s="7" t="s">
        <v>604</v>
      </c>
      <c r="D582" s="8">
        <f>'CDC Source Data'!D597</f>
        <v>272823</v>
      </c>
      <c r="E582" s="8">
        <f>'CDC Source Data'!E597</f>
        <v>17</v>
      </c>
      <c r="F582" s="31">
        <f t="shared" ref="F582:F603" si="9">IFERROR(E581/D581*100000,"")</f>
        <v>6.3477851241326091</v>
      </c>
      <c r="G582" s="9">
        <f>'CDC Source Data'!F597</f>
        <v>0.57999999999999996</v>
      </c>
      <c r="H582" s="7">
        <f>'CDC Source Data'!G597</f>
        <v>0</v>
      </c>
      <c r="I582" s="97">
        <v>12.4</v>
      </c>
      <c r="J582" s="97">
        <v>13</v>
      </c>
      <c r="K582" s="98">
        <v>37</v>
      </c>
      <c r="L582" s="98">
        <v>43</v>
      </c>
      <c r="M582" s="98">
        <v>48</v>
      </c>
      <c r="N582" s="98">
        <v>52</v>
      </c>
      <c r="O582" s="98">
        <v>45</v>
      </c>
      <c r="P582" s="98">
        <v>43</v>
      </c>
      <c r="Q582" s="98">
        <v>37</v>
      </c>
      <c r="R582" s="98">
        <v>31</v>
      </c>
      <c r="S582" s="98">
        <v>33</v>
      </c>
      <c r="T582" s="98">
        <v>41</v>
      </c>
      <c r="U582" s="98">
        <v>41</v>
      </c>
      <c r="V582" s="98">
        <v>55</v>
      </c>
      <c r="W582" s="98">
        <v>66</v>
      </c>
      <c r="X582" s="98">
        <v>79</v>
      </c>
      <c r="Y582" s="98">
        <v>79</v>
      </c>
      <c r="Z582" s="98">
        <v>81</v>
      </c>
      <c r="AA582" s="98">
        <v>77</v>
      </c>
      <c r="AB582" s="98">
        <v>67</v>
      </c>
      <c r="AC582" s="98">
        <v>64</v>
      </c>
      <c r="AD582" s="98">
        <v>47</v>
      </c>
      <c r="AE582" s="98">
        <v>35</v>
      </c>
      <c r="AF582" s="98">
        <v>21</v>
      </c>
      <c r="AG582" s="98">
        <v>17</v>
      </c>
    </row>
    <row r="583" spans="1:33" x14ac:dyDescent="0.3">
      <c r="A583" s="7">
        <v>578</v>
      </c>
      <c r="B583" s="7" t="s">
        <v>895</v>
      </c>
      <c r="C583" s="7" t="s">
        <v>480</v>
      </c>
      <c r="D583" s="8">
        <f>'CDC Source Data'!D321</f>
        <v>196976</v>
      </c>
      <c r="E583" s="8">
        <f>'CDC Source Data'!E321</f>
        <v>12</v>
      </c>
      <c r="F583" s="31">
        <f t="shared" si="9"/>
        <v>6.2311462010167764</v>
      </c>
      <c r="G583" s="9">
        <f>'CDC Source Data'!F321</f>
        <v>0.16</v>
      </c>
      <c r="H583" s="7">
        <f>'CDC Source Data'!G321</f>
        <v>0</v>
      </c>
      <c r="I583" s="97">
        <v>18.2</v>
      </c>
      <c r="J583" s="97">
        <v>19</v>
      </c>
      <c r="K583" s="98">
        <v>37</v>
      </c>
      <c r="L583" s="98">
        <v>39</v>
      </c>
      <c r="M583" s="98">
        <v>43</v>
      </c>
      <c r="N583" s="98">
        <v>38</v>
      </c>
      <c r="O583" s="98">
        <v>43</v>
      </c>
      <c r="P583" s="98">
        <v>41</v>
      </c>
      <c r="Q583" s="98">
        <v>40</v>
      </c>
      <c r="R583" s="98">
        <v>38</v>
      </c>
      <c r="S583" s="98">
        <v>38</v>
      </c>
      <c r="T583" s="98">
        <v>36</v>
      </c>
      <c r="U583" s="98">
        <v>32</v>
      </c>
      <c r="V583" s="98">
        <v>32</v>
      </c>
      <c r="W583" s="98">
        <v>26</v>
      </c>
      <c r="X583" s="98">
        <v>26</v>
      </c>
      <c r="Y583" s="98">
        <v>27</v>
      </c>
      <c r="Z583" s="98">
        <v>21</v>
      </c>
      <c r="AA583" s="98">
        <v>16</v>
      </c>
      <c r="AB583" s="98">
        <v>11</v>
      </c>
      <c r="AC583" s="98">
        <v>11</v>
      </c>
      <c r="AD583" s="98">
        <v>11</v>
      </c>
      <c r="AE583" s="98">
        <v>12</v>
      </c>
      <c r="AF583" s="98">
        <v>14</v>
      </c>
      <c r="AG583" s="98">
        <v>12</v>
      </c>
    </row>
    <row r="584" spans="1:33" x14ac:dyDescent="0.3">
      <c r="A584" s="7">
        <v>579</v>
      </c>
      <c r="B584" s="7" t="s">
        <v>896</v>
      </c>
      <c r="C584" s="7" t="s">
        <v>239</v>
      </c>
      <c r="D584" s="8">
        <f>'CDC Source Data'!D26</f>
        <v>239807</v>
      </c>
      <c r="E584" s="8">
        <f>'CDC Source Data'!E26</f>
        <v>14</v>
      </c>
      <c r="F584" s="31">
        <f t="shared" si="9"/>
        <v>6.092112744699862</v>
      </c>
      <c r="G584" s="9">
        <f>'CDC Source Data'!F26</f>
        <v>0</v>
      </c>
      <c r="H584" s="7">
        <f>'CDC Source Data'!G26</f>
        <v>0</v>
      </c>
      <c r="I584" s="97">
        <v>8.5</v>
      </c>
      <c r="J584" s="97">
        <v>8.9</v>
      </c>
      <c r="K584" s="98">
        <v>22</v>
      </c>
      <c r="L584" s="98">
        <v>26</v>
      </c>
      <c r="M584" s="98">
        <v>33</v>
      </c>
      <c r="N584" s="98">
        <v>35</v>
      </c>
      <c r="O584" s="98">
        <v>32</v>
      </c>
      <c r="P584" s="98">
        <v>30</v>
      </c>
      <c r="Q584" s="98">
        <v>29</v>
      </c>
      <c r="R584" s="98">
        <v>28</v>
      </c>
      <c r="S584" s="98">
        <v>32</v>
      </c>
      <c r="T584" s="98">
        <v>31</v>
      </c>
      <c r="U584" s="98">
        <v>25</v>
      </c>
      <c r="V584" s="98">
        <v>24</v>
      </c>
      <c r="W584" s="98">
        <v>22</v>
      </c>
      <c r="X584" s="98">
        <v>24</v>
      </c>
      <c r="Y584" s="98">
        <v>29</v>
      </c>
      <c r="Z584" s="98">
        <v>31</v>
      </c>
      <c r="AA584" s="98">
        <v>28</v>
      </c>
      <c r="AB584" s="98">
        <v>25</v>
      </c>
      <c r="AC584" s="98">
        <v>19</v>
      </c>
      <c r="AD584" s="98">
        <v>19</v>
      </c>
      <c r="AE584" s="98">
        <v>18</v>
      </c>
      <c r="AF584" s="98">
        <v>14</v>
      </c>
      <c r="AG584" s="98">
        <v>14</v>
      </c>
    </row>
    <row r="585" spans="1:33" x14ac:dyDescent="0.3">
      <c r="A585" s="7">
        <v>580</v>
      </c>
      <c r="B585" s="7" t="s">
        <v>897</v>
      </c>
      <c r="C585" s="7" t="s">
        <v>32</v>
      </c>
      <c r="D585" s="8">
        <f>'CDC Source Data'!D498</f>
        <v>240360</v>
      </c>
      <c r="E585" s="8">
        <f>'CDC Source Data'!E498</f>
        <v>14</v>
      </c>
      <c r="F585" s="31">
        <f t="shared" si="9"/>
        <v>5.8380280809150689</v>
      </c>
      <c r="G585" s="9">
        <f>'CDC Source Data'!F498</f>
        <v>0.67</v>
      </c>
      <c r="H585" s="7" t="str">
        <f>'CDC Source Data'!G498</f>
        <v>Completeness of provisional 2019 data under 90% after 6 months.</v>
      </c>
      <c r="I585" s="97">
        <v>9.9</v>
      </c>
      <c r="J585" s="97">
        <v>10.3</v>
      </c>
      <c r="K585" s="98">
        <v>29</v>
      </c>
      <c r="L585" s="98">
        <v>36</v>
      </c>
      <c r="M585" s="98">
        <v>37</v>
      </c>
      <c r="N585" s="98">
        <v>42</v>
      </c>
      <c r="O585" s="98">
        <v>44</v>
      </c>
      <c r="P585" s="98">
        <v>38</v>
      </c>
      <c r="Q585" s="98">
        <v>41</v>
      </c>
      <c r="R585" s="98">
        <v>40</v>
      </c>
      <c r="S585" s="98">
        <v>36</v>
      </c>
      <c r="T585" s="98">
        <v>39</v>
      </c>
      <c r="U585" s="98">
        <v>38</v>
      </c>
      <c r="V585" s="98">
        <v>39</v>
      </c>
      <c r="W585" s="98">
        <v>34</v>
      </c>
      <c r="X585" s="98">
        <v>36</v>
      </c>
      <c r="Y585" s="98">
        <v>37</v>
      </c>
      <c r="Z585" s="98">
        <v>33</v>
      </c>
      <c r="AA585" s="98">
        <v>31</v>
      </c>
      <c r="AB585" s="98">
        <v>22</v>
      </c>
      <c r="AC585" s="98">
        <v>18</v>
      </c>
      <c r="AD585" s="98">
        <v>19</v>
      </c>
      <c r="AE585" s="98">
        <v>16</v>
      </c>
      <c r="AF585" s="98">
        <v>16</v>
      </c>
      <c r="AG585" s="98">
        <v>14</v>
      </c>
    </row>
    <row r="586" spans="1:33" x14ac:dyDescent="0.3">
      <c r="A586" s="7">
        <v>581</v>
      </c>
      <c r="B586" s="7" t="s">
        <v>464</v>
      </c>
      <c r="C586" s="7" t="s">
        <v>588</v>
      </c>
      <c r="D586" s="8">
        <f>'CDC Source Data'!D590</f>
        <v>266184</v>
      </c>
      <c r="E586" s="8">
        <f>'CDC Source Data'!E590</f>
        <v>15</v>
      </c>
      <c r="F586" s="31">
        <f t="shared" si="9"/>
        <v>5.8245964386753206</v>
      </c>
      <c r="G586" s="9">
        <f>'CDC Source Data'!F590</f>
        <v>0.1</v>
      </c>
      <c r="H586" s="7">
        <f>'CDC Source Data'!G590</f>
        <v>0</v>
      </c>
      <c r="I586" s="97">
        <v>9.6999999999999993</v>
      </c>
      <c r="J586" s="97">
        <v>10.1</v>
      </c>
      <c r="K586" s="98">
        <v>12</v>
      </c>
      <c r="L586" s="98">
        <v>14</v>
      </c>
      <c r="M586" s="98">
        <v>16</v>
      </c>
      <c r="N586" s="98">
        <v>15</v>
      </c>
      <c r="O586" s="98">
        <v>19</v>
      </c>
      <c r="P586" s="98">
        <v>20</v>
      </c>
      <c r="Q586" s="98">
        <v>19</v>
      </c>
      <c r="R586" s="98">
        <v>26</v>
      </c>
      <c r="S586" s="98">
        <v>30</v>
      </c>
      <c r="T586" s="98">
        <v>35</v>
      </c>
      <c r="U586" s="98">
        <v>43</v>
      </c>
      <c r="V586" s="98">
        <v>43</v>
      </c>
      <c r="W586" s="98">
        <v>35</v>
      </c>
      <c r="X586" s="98">
        <v>30</v>
      </c>
      <c r="Y586" s="98">
        <v>28</v>
      </c>
      <c r="Z586" s="98">
        <v>24</v>
      </c>
      <c r="AA586" s="98">
        <v>26</v>
      </c>
      <c r="AB586" s="98">
        <v>26</v>
      </c>
      <c r="AC586" s="98">
        <v>21</v>
      </c>
      <c r="AD586" s="98">
        <v>20</v>
      </c>
      <c r="AE586" s="98">
        <v>18</v>
      </c>
      <c r="AF586" s="98">
        <v>15</v>
      </c>
      <c r="AG586" s="98">
        <v>15</v>
      </c>
    </row>
    <row r="587" spans="1:33" x14ac:dyDescent="0.3">
      <c r="A587" s="7">
        <v>582</v>
      </c>
      <c r="B587" s="7" t="s">
        <v>450</v>
      </c>
      <c r="C587" s="7" t="s">
        <v>447</v>
      </c>
      <c r="D587" s="8">
        <f>'CDC Source Data'!D152</f>
        <v>237966</v>
      </c>
      <c r="E587" s="8">
        <f>'CDC Source Data'!E152</f>
        <v>13</v>
      </c>
      <c r="F587" s="31">
        <f t="shared" si="9"/>
        <v>5.6351997114777745</v>
      </c>
      <c r="G587" s="9">
        <f>'CDC Source Data'!F152</f>
        <v>0.06</v>
      </c>
      <c r="H587" s="7">
        <f>'CDC Source Data'!G152</f>
        <v>0</v>
      </c>
      <c r="I587" s="97">
        <v>12.3</v>
      </c>
      <c r="J587" s="97">
        <v>12.9</v>
      </c>
      <c r="K587" s="98">
        <v>29</v>
      </c>
      <c r="L587" s="98">
        <v>33</v>
      </c>
      <c r="M587" s="98">
        <v>31</v>
      </c>
      <c r="N587" s="98">
        <v>31</v>
      </c>
      <c r="O587" s="98">
        <v>35</v>
      </c>
      <c r="P587" s="98">
        <v>37</v>
      </c>
      <c r="Q587" s="98">
        <v>38</v>
      </c>
      <c r="R587" s="98">
        <v>40</v>
      </c>
      <c r="S587" s="98">
        <v>37</v>
      </c>
      <c r="T587" s="98">
        <v>34</v>
      </c>
      <c r="U587" s="98">
        <v>39</v>
      </c>
      <c r="V587" s="98">
        <v>34</v>
      </c>
      <c r="W587" s="98">
        <v>34</v>
      </c>
      <c r="X587" s="98">
        <v>31</v>
      </c>
      <c r="Y587" s="98">
        <v>26</v>
      </c>
      <c r="Z587" s="98">
        <v>24</v>
      </c>
      <c r="AA587" s="98">
        <v>25</v>
      </c>
      <c r="AB587" s="98">
        <v>24</v>
      </c>
      <c r="AC587" s="98">
        <v>24</v>
      </c>
      <c r="AD587" s="98">
        <v>23</v>
      </c>
      <c r="AE587" s="98">
        <v>17</v>
      </c>
      <c r="AF587" s="98">
        <v>15</v>
      </c>
      <c r="AG587" s="98">
        <v>13</v>
      </c>
    </row>
    <row r="588" spans="1:33" x14ac:dyDescent="0.3">
      <c r="A588" s="7">
        <v>583</v>
      </c>
      <c r="B588" s="7" t="s">
        <v>898</v>
      </c>
      <c r="C588" s="7" t="s">
        <v>480</v>
      </c>
      <c r="D588" s="8">
        <f>'CDC Source Data'!D425</f>
        <v>306235</v>
      </c>
      <c r="E588" s="8">
        <f>'CDC Source Data'!E425</f>
        <v>16</v>
      </c>
      <c r="F588" s="31">
        <f t="shared" si="9"/>
        <v>5.4629652975635175</v>
      </c>
      <c r="G588" s="9">
        <f>'CDC Source Data'!F425</f>
        <v>0.25</v>
      </c>
      <c r="H588" s="7" t="str">
        <f>'CDC Source Data'!G425</f>
        <v>Completeness of provisional 2019 data under 90% after 6 months.</v>
      </c>
      <c r="I588" s="97">
        <v>12.8</v>
      </c>
      <c r="J588" s="97">
        <v>13.4</v>
      </c>
      <c r="K588" s="98">
        <v>34</v>
      </c>
      <c r="L588" s="98">
        <v>40</v>
      </c>
      <c r="M588" s="98">
        <v>38</v>
      </c>
      <c r="N588" s="98">
        <v>37</v>
      </c>
      <c r="O588" s="98">
        <v>37</v>
      </c>
      <c r="P588" s="98">
        <v>32</v>
      </c>
      <c r="Q588" s="98">
        <v>31</v>
      </c>
      <c r="R588" s="98">
        <v>27</v>
      </c>
      <c r="S588" s="98">
        <v>31</v>
      </c>
      <c r="T588" s="98">
        <v>34</v>
      </c>
      <c r="U588" s="98">
        <v>34</v>
      </c>
      <c r="V588" s="98">
        <v>35</v>
      </c>
      <c r="W588" s="98">
        <v>35</v>
      </c>
      <c r="X588" s="98">
        <v>34</v>
      </c>
      <c r="Y588" s="98">
        <v>37</v>
      </c>
      <c r="Z588" s="98">
        <v>34</v>
      </c>
      <c r="AA588" s="98">
        <v>29</v>
      </c>
      <c r="AB588" s="98">
        <v>25</v>
      </c>
      <c r="AC588" s="98">
        <v>20</v>
      </c>
      <c r="AD588" s="98">
        <v>20</v>
      </c>
      <c r="AE588" s="98">
        <v>19</v>
      </c>
      <c r="AF588" s="98">
        <v>18</v>
      </c>
      <c r="AG588" s="98">
        <v>16</v>
      </c>
    </row>
    <row r="589" spans="1:33" x14ac:dyDescent="0.3">
      <c r="A589" s="7">
        <v>584</v>
      </c>
      <c r="B589" s="7" t="s">
        <v>899</v>
      </c>
      <c r="C589" s="7" t="s">
        <v>239</v>
      </c>
      <c r="D589" s="8">
        <f>'CDC Source Data'!D325</f>
        <v>443380</v>
      </c>
      <c r="E589" s="8">
        <f>'CDC Source Data'!E325</f>
        <v>22</v>
      </c>
      <c r="F589" s="31">
        <f t="shared" si="9"/>
        <v>5.2247457018302939</v>
      </c>
      <c r="G589" s="9">
        <f>'CDC Source Data'!F325</f>
        <v>0.05</v>
      </c>
      <c r="H589" s="7">
        <f>'CDC Source Data'!G325</f>
        <v>0</v>
      </c>
      <c r="I589" s="97">
        <v>7.9</v>
      </c>
      <c r="J589" s="97">
        <v>8.1999999999999993</v>
      </c>
      <c r="K589" s="98">
        <v>30</v>
      </c>
      <c r="L589" s="98">
        <v>33</v>
      </c>
      <c r="M589" s="98">
        <v>37</v>
      </c>
      <c r="N589" s="98">
        <v>38</v>
      </c>
      <c r="O589" s="98">
        <v>39</v>
      </c>
      <c r="P589" s="98">
        <v>40</v>
      </c>
      <c r="Q589" s="98">
        <v>42</v>
      </c>
      <c r="R589" s="98">
        <v>46</v>
      </c>
      <c r="S589" s="98">
        <v>42</v>
      </c>
      <c r="T589" s="98">
        <v>41</v>
      </c>
      <c r="U589" s="98">
        <v>33</v>
      </c>
      <c r="V589" s="98">
        <v>29</v>
      </c>
      <c r="W589" s="98">
        <v>33</v>
      </c>
      <c r="X589" s="98">
        <v>36</v>
      </c>
      <c r="Y589" s="98">
        <v>41</v>
      </c>
      <c r="Z589" s="98">
        <v>38</v>
      </c>
      <c r="AA589" s="98">
        <v>37</v>
      </c>
      <c r="AB589" s="98">
        <v>35</v>
      </c>
      <c r="AC589" s="98">
        <v>26</v>
      </c>
      <c r="AD589" s="98">
        <v>24</v>
      </c>
      <c r="AE589" s="98">
        <v>22</v>
      </c>
      <c r="AF589" s="98">
        <v>20</v>
      </c>
      <c r="AG589" s="98">
        <v>22</v>
      </c>
    </row>
    <row r="590" spans="1:33" x14ac:dyDescent="0.3">
      <c r="A590" s="7">
        <v>585</v>
      </c>
      <c r="B590" s="7" t="s">
        <v>900</v>
      </c>
      <c r="C590" s="7" t="s">
        <v>604</v>
      </c>
      <c r="D590" s="8">
        <f>'CDC Source Data'!D197</f>
        <v>958434</v>
      </c>
      <c r="E590" s="8">
        <f>'CDC Source Data'!E197</f>
        <v>43</v>
      </c>
      <c r="F590" s="31">
        <f t="shared" si="9"/>
        <v>4.9618837114890164</v>
      </c>
      <c r="G590" s="9">
        <f>'CDC Source Data'!F197</f>
        <v>0.1</v>
      </c>
      <c r="H590" s="7" t="str">
        <f>'CDC Source Data'!G197</f>
        <v>Completeness of provisional 2019 data under 90% after 6 months.</v>
      </c>
      <c r="I590" s="97">
        <v>6.8</v>
      </c>
      <c r="J590" s="97">
        <v>7.1</v>
      </c>
      <c r="K590" s="98">
        <v>56</v>
      </c>
      <c r="L590" s="98">
        <v>56</v>
      </c>
      <c r="M590" s="98">
        <v>71</v>
      </c>
      <c r="N590" s="98">
        <v>77</v>
      </c>
      <c r="O590" s="98">
        <v>78</v>
      </c>
      <c r="P590" s="98">
        <v>83</v>
      </c>
      <c r="Q590" s="98">
        <v>78</v>
      </c>
      <c r="R590" s="98">
        <v>78</v>
      </c>
      <c r="S590" s="98">
        <v>81</v>
      </c>
      <c r="T590" s="98">
        <v>87</v>
      </c>
      <c r="U590" s="98">
        <v>93</v>
      </c>
      <c r="V590" s="98">
        <v>111</v>
      </c>
      <c r="W590" s="98">
        <v>118</v>
      </c>
      <c r="X590" s="98">
        <v>121</v>
      </c>
      <c r="Y590" s="98">
        <v>120</v>
      </c>
      <c r="Z590" s="98">
        <v>100</v>
      </c>
      <c r="AA590" s="98">
        <v>98</v>
      </c>
      <c r="AB590" s="98">
        <v>95</v>
      </c>
      <c r="AC590" s="98">
        <v>87</v>
      </c>
      <c r="AD590" s="98">
        <v>84</v>
      </c>
      <c r="AE590" s="98">
        <v>66</v>
      </c>
      <c r="AF590" s="98">
        <v>53</v>
      </c>
      <c r="AG590" s="98">
        <v>43</v>
      </c>
    </row>
    <row r="591" spans="1:33" x14ac:dyDescent="0.3">
      <c r="A591" s="7">
        <v>586</v>
      </c>
      <c r="B591" s="7" t="s">
        <v>448</v>
      </c>
      <c r="C591" s="7" t="s">
        <v>588</v>
      </c>
      <c r="D591" s="8">
        <f>'CDC Source Data'!D40</f>
        <v>321566</v>
      </c>
      <c r="E591" s="8">
        <f>'CDC Source Data'!E40</f>
        <v>12</v>
      </c>
      <c r="F591" s="31">
        <f t="shared" si="9"/>
        <v>4.4864852457237534</v>
      </c>
      <c r="G591" s="9">
        <f>'CDC Source Data'!F40</f>
        <v>0.25</v>
      </c>
      <c r="H591" s="7">
        <f>'CDC Source Data'!G40</f>
        <v>0</v>
      </c>
      <c r="I591" s="97">
        <v>14.8</v>
      </c>
      <c r="J591" s="97">
        <v>15.4</v>
      </c>
      <c r="K591" s="98">
        <v>29</v>
      </c>
      <c r="L591" s="98">
        <v>34</v>
      </c>
      <c r="M591" s="98">
        <v>37</v>
      </c>
      <c r="N591" s="98">
        <v>44</v>
      </c>
      <c r="O591" s="98">
        <v>47</v>
      </c>
      <c r="P591" s="98">
        <v>44</v>
      </c>
      <c r="Q591" s="98">
        <v>42</v>
      </c>
      <c r="R591" s="98">
        <v>40</v>
      </c>
      <c r="S591" s="98">
        <v>38</v>
      </c>
      <c r="T591" s="98">
        <v>42</v>
      </c>
      <c r="U591" s="98">
        <v>47</v>
      </c>
      <c r="V591" s="98">
        <v>44</v>
      </c>
      <c r="W591" s="98">
        <v>52</v>
      </c>
      <c r="X591" s="98">
        <v>48</v>
      </c>
      <c r="Y591" s="98">
        <v>46</v>
      </c>
      <c r="Z591" s="98">
        <v>39</v>
      </c>
      <c r="AA591" s="98">
        <v>34</v>
      </c>
      <c r="AB591" s="98">
        <v>36</v>
      </c>
      <c r="AC591" s="98">
        <v>33</v>
      </c>
      <c r="AD591" s="98">
        <v>31</v>
      </c>
      <c r="AE591" s="98">
        <v>24</v>
      </c>
      <c r="AF591" s="98">
        <v>16</v>
      </c>
      <c r="AG591" s="98">
        <v>12</v>
      </c>
    </row>
    <row r="592" spans="1:33" x14ac:dyDescent="0.3">
      <c r="A592" s="7">
        <v>587</v>
      </c>
      <c r="B592" s="7" t="s">
        <v>901</v>
      </c>
      <c r="C592" s="7" t="s">
        <v>604</v>
      </c>
      <c r="D592" s="8">
        <f>'CDC Source Data'!D241</f>
        <v>914820</v>
      </c>
      <c r="E592" s="8">
        <f>'CDC Source Data'!E241</f>
        <v>34</v>
      </c>
      <c r="F592" s="31">
        <f t="shared" si="9"/>
        <v>3.7317378081016028</v>
      </c>
      <c r="G592" s="9">
        <f>'CDC Source Data'!F241</f>
        <v>1.07</v>
      </c>
      <c r="H592" s="7" t="str">
        <f>'CDC Source Data'!G241</f>
        <v>Completeness of provisional 2019 data under 90% after 6 months.</v>
      </c>
      <c r="I592" s="97">
        <v>3.9</v>
      </c>
      <c r="J592" s="97">
        <v>4.0999999999999996</v>
      </c>
      <c r="K592" s="98">
        <v>38</v>
      </c>
      <c r="L592" s="98">
        <v>50</v>
      </c>
      <c r="M592" s="98">
        <v>57</v>
      </c>
      <c r="N592" s="98">
        <v>59</v>
      </c>
      <c r="O592" s="98">
        <v>54</v>
      </c>
      <c r="P592" s="98">
        <v>37</v>
      </c>
      <c r="Q592" s="98">
        <v>34</v>
      </c>
      <c r="R592" s="98">
        <v>34</v>
      </c>
      <c r="S592" s="98">
        <v>36</v>
      </c>
      <c r="T592" s="98">
        <v>52</v>
      </c>
      <c r="U592" s="98">
        <v>51</v>
      </c>
      <c r="V592" s="98">
        <v>49</v>
      </c>
      <c r="W592" s="98">
        <v>58</v>
      </c>
      <c r="X592" s="98">
        <v>51</v>
      </c>
      <c r="Y592" s="98">
        <v>56</v>
      </c>
      <c r="Z592" s="98">
        <v>60</v>
      </c>
      <c r="AA592" s="98">
        <v>54</v>
      </c>
      <c r="AB592" s="98">
        <v>61</v>
      </c>
      <c r="AC592" s="98">
        <v>57</v>
      </c>
      <c r="AD592" s="98">
        <v>54</v>
      </c>
      <c r="AE592" s="98">
        <v>49</v>
      </c>
      <c r="AF592" s="98">
        <v>39</v>
      </c>
      <c r="AG592" s="98">
        <v>34</v>
      </c>
    </row>
    <row r="593" spans="1:51" x14ac:dyDescent="0.3">
      <c r="A593" s="7">
        <v>588</v>
      </c>
      <c r="B593" s="7" t="s">
        <v>507</v>
      </c>
      <c r="C593" s="7" t="s">
        <v>19</v>
      </c>
      <c r="D593" s="8">
        <f>'CDC Source Data'!D8</f>
        <v>107914</v>
      </c>
      <c r="E593" s="8">
        <f>'CDC Source Data'!E8</f>
        <v>0</v>
      </c>
      <c r="F593" s="31">
        <f t="shared" si="9"/>
        <v>3.7165781246584029</v>
      </c>
      <c r="G593" s="9">
        <f>'CDC Source Data'!F8</f>
        <v>0</v>
      </c>
      <c r="H593" s="7">
        <f>'CDC Source Data'!G8</f>
        <v>0</v>
      </c>
      <c r="I593" s="97">
        <v>16.399999999999999</v>
      </c>
      <c r="J593" s="97">
        <v>17.100000000000001</v>
      </c>
      <c r="K593" s="98">
        <v>10</v>
      </c>
      <c r="L593" s="98">
        <v>17</v>
      </c>
      <c r="M593" s="98">
        <v>22</v>
      </c>
      <c r="N593" s="98">
        <v>24</v>
      </c>
      <c r="O593" s="98">
        <v>28</v>
      </c>
      <c r="P593" s="98">
        <v>27</v>
      </c>
      <c r="Q593" s="98">
        <v>27</v>
      </c>
      <c r="R593" s="98">
        <v>26</v>
      </c>
      <c r="S593" s="98">
        <v>21</v>
      </c>
      <c r="T593" s="98">
        <v>13</v>
      </c>
      <c r="U593" s="98">
        <v>11</v>
      </c>
      <c r="V593" s="98">
        <v>10</v>
      </c>
      <c r="W593" s="98">
        <v>11</v>
      </c>
      <c r="X593" s="98">
        <v>15</v>
      </c>
      <c r="Y593" s="98">
        <v>12</v>
      </c>
      <c r="Z593" s="98">
        <v>13</v>
      </c>
      <c r="AA593" s="98">
        <v>11</v>
      </c>
      <c r="AB593" s="100"/>
      <c r="AC593" s="100"/>
      <c r="AD593" s="98">
        <v>10</v>
      </c>
      <c r="AE593" s="109"/>
      <c r="AF593" s="98">
        <v>10</v>
      </c>
      <c r="AG593" s="109"/>
    </row>
    <row r="594" spans="1:51" x14ac:dyDescent="0.3">
      <c r="A594" s="7">
        <v>589</v>
      </c>
      <c r="B594" s="7" t="s">
        <v>902</v>
      </c>
      <c r="C594" s="7" t="s">
        <v>239</v>
      </c>
      <c r="D594" s="8">
        <f>'CDC Source Data'!D15</f>
        <v>159102</v>
      </c>
      <c r="E594" s="8">
        <f>'CDC Source Data'!E15</f>
        <v>0</v>
      </c>
      <c r="F594" s="31">
        <f t="shared" si="9"/>
        <v>0</v>
      </c>
      <c r="G594" s="9">
        <f>'CDC Source Data'!F15</f>
        <v>0.12</v>
      </c>
      <c r="H594" s="7">
        <f>'CDC Source Data'!G15</f>
        <v>0</v>
      </c>
      <c r="I594" s="97">
        <v>11.4</v>
      </c>
      <c r="J594" s="97">
        <v>11.9</v>
      </c>
      <c r="K594" s="98">
        <v>24</v>
      </c>
      <c r="L594" s="98">
        <v>20</v>
      </c>
      <c r="M594" s="98">
        <v>24</v>
      </c>
      <c r="N594" s="98">
        <v>21</v>
      </c>
      <c r="O594" s="98">
        <v>17</v>
      </c>
      <c r="P594" s="98">
        <v>20</v>
      </c>
      <c r="Q594" s="98">
        <v>24</v>
      </c>
      <c r="R594" s="98">
        <v>27</v>
      </c>
      <c r="S594" s="98">
        <v>28</v>
      </c>
      <c r="T594" s="98">
        <v>28</v>
      </c>
      <c r="U594" s="98">
        <v>20</v>
      </c>
      <c r="V594" s="98">
        <v>19</v>
      </c>
      <c r="W594" s="98">
        <v>23</v>
      </c>
      <c r="X594" s="98">
        <v>21</v>
      </c>
      <c r="Y594" s="98">
        <v>23</v>
      </c>
      <c r="Z594" s="98">
        <v>20</v>
      </c>
      <c r="AA594" s="98">
        <v>17</v>
      </c>
      <c r="AB594" s="98">
        <v>18</v>
      </c>
      <c r="AC594" s="98">
        <v>17</v>
      </c>
      <c r="AD594" s="98">
        <v>17</v>
      </c>
      <c r="AE594" s="98">
        <v>13</v>
      </c>
      <c r="AF594" s="98">
        <v>10</v>
      </c>
      <c r="AG594" s="109"/>
    </row>
    <row r="595" spans="1:51" x14ac:dyDescent="0.3">
      <c r="A595" s="7">
        <v>590</v>
      </c>
      <c r="B595" s="7" t="s">
        <v>903</v>
      </c>
      <c r="C595" s="7" t="s">
        <v>480</v>
      </c>
      <c r="D595" s="8">
        <f>'CDC Source Data'!D16</f>
        <v>122429</v>
      </c>
      <c r="E595" s="8">
        <f>'CDC Source Data'!E16</f>
        <v>0</v>
      </c>
      <c r="F595" s="31">
        <f t="shared" si="9"/>
        <v>0</v>
      </c>
      <c r="G595" s="9">
        <f>'CDC Source Data'!F16</f>
        <v>0.24</v>
      </c>
      <c r="H595" s="7">
        <f>'CDC Source Data'!G16</f>
        <v>0</v>
      </c>
      <c r="I595" s="97">
        <v>14.4</v>
      </c>
      <c r="J595" s="97">
        <v>15</v>
      </c>
      <c r="K595" s="98">
        <v>15</v>
      </c>
      <c r="L595" s="98">
        <v>19</v>
      </c>
      <c r="M595" s="98">
        <v>19</v>
      </c>
      <c r="N595" s="98">
        <v>18</v>
      </c>
      <c r="O595" s="98">
        <v>18</v>
      </c>
      <c r="P595" s="98">
        <v>14</v>
      </c>
      <c r="Q595" s="98">
        <v>17</v>
      </c>
      <c r="R595" s="98">
        <v>16</v>
      </c>
      <c r="S595" s="98">
        <v>17</v>
      </c>
      <c r="T595" s="98">
        <v>18</v>
      </c>
      <c r="U595" s="98">
        <v>20</v>
      </c>
      <c r="V595" s="98">
        <v>19</v>
      </c>
      <c r="W595" s="98">
        <v>17</v>
      </c>
      <c r="X595" s="98">
        <v>17</v>
      </c>
      <c r="Y595" s="98">
        <v>12</v>
      </c>
      <c r="Z595" s="98">
        <v>15</v>
      </c>
      <c r="AA595" s="98">
        <v>16</v>
      </c>
      <c r="AB595" s="98">
        <v>14</v>
      </c>
      <c r="AC595" s="98">
        <v>11</v>
      </c>
      <c r="AD595" s="109"/>
      <c r="AE595" s="109"/>
      <c r="AF595" s="109"/>
      <c r="AG595" s="109"/>
    </row>
    <row r="596" spans="1:51" x14ac:dyDescent="0.3">
      <c r="A596" s="7">
        <v>591</v>
      </c>
      <c r="B596" s="7" t="s">
        <v>904</v>
      </c>
      <c r="C596" s="7" t="s">
        <v>604</v>
      </c>
      <c r="D596" s="8">
        <f>'CDC Source Data'!D61</f>
        <v>249624</v>
      </c>
      <c r="E596" s="8">
        <f>'CDC Source Data'!E61</f>
        <v>0</v>
      </c>
      <c r="F596" s="31">
        <f t="shared" si="9"/>
        <v>0</v>
      </c>
      <c r="G596" s="9">
        <f>'CDC Source Data'!F61</f>
        <v>0.3</v>
      </c>
      <c r="H596" s="7" t="str">
        <f>'CDC Source Data'!G61</f>
        <v>Completeness of provisional 2019 data under 90% after 6 months.</v>
      </c>
      <c r="I596" s="97">
        <v>7.8</v>
      </c>
      <c r="J596" s="97">
        <v>8.1</v>
      </c>
      <c r="K596" s="98">
        <v>12</v>
      </c>
      <c r="L596" s="98">
        <v>17</v>
      </c>
      <c r="M596" s="98">
        <v>21</v>
      </c>
      <c r="N596" s="98">
        <v>21</v>
      </c>
      <c r="O596" s="98">
        <v>23</v>
      </c>
      <c r="P596" s="98">
        <v>20</v>
      </c>
      <c r="Q596" s="98">
        <v>20</v>
      </c>
      <c r="R596" s="98">
        <v>22</v>
      </c>
      <c r="S596" s="98">
        <v>20</v>
      </c>
      <c r="T596" s="98">
        <v>19</v>
      </c>
      <c r="U596" s="98">
        <v>21</v>
      </c>
      <c r="V596" s="98">
        <v>22</v>
      </c>
      <c r="W596" s="98">
        <v>27</v>
      </c>
      <c r="X596" s="98">
        <v>26</v>
      </c>
      <c r="Y596" s="98">
        <v>24</v>
      </c>
      <c r="Z596" s="98">
        <v>21</v>
      </c>
      <c r="AA596" s="98">
        <v>17</v>
      </c>
      <c r="AB596" s="98">
        <v>21</v>
      </c>
      <c r="AC596" s="98">
        <v>19</v>
      </c>
      <c r="AD596" s="98">
        <v>18</v>
      </c>
      <c r="AE596" s="98">
        <v>14</v>
      </c>
      <c r="AF596" s="109"/>
      <c r="AG596" s="109"/>
    </row>
    <row r="597" spans="1:51" x14ac:dyDescent="0.3">
      <c r="A597" s="7">
        <v>592</v>
      </c>
      <c r="B597" s="7" t="s">
        <v>905</v>
      </c>
      <c r="C597" s="7" t="s">
        <v>705</v>
      </c>
      <c r="D597" s="8">
        <f>'CDC Source Data'!D71</f>
        <v>103107</v>
      </c>
      <c r="E597" s="8">
        <f>'CDC Source Data'!E71</f>
        <v>0</v>
      </c>
      <c r="F597" s="31">
        <f t="shared" si="9"/>
        <v>0</v>
      </c>
      <c r="G597" s="9">
        <f>'CDC Source Data'!F71</f>
        <v>0</v>
      </c>
      <c r="H597" s="7">
        <f>'CDC Source Data'!G71</f>
        <v>0</v>
      </c>
      <c r="I597" s="97">
        <v>8</v>
      </c>
      <c r="J597" s="97">
        <v>8.3000000000000007</v>
      </c>
      <c r="K597" s="98">
        <v>10</v>
      </c>
      <c r="L597" s="98">
        <v>11</v>
      </c>
      <c r="M597" s="98">
        <v>11</v>
      </c>
      <c r="N597" s="98">
        <v>11</v>
      </c>
      <c r="O597" s="98">
        <v>10</v>
      </c>
      <c r="P597" s="98">
        <v>10</v>
      </c>
      <c r="Q597" s="98">
        <v>15</v>
      </c>
      <c r="R597" s="98">
        <v>16</v>
      </c>
      <c r="S597" s="98">
        <v>15</v>
      </c>
      <c r="T597" s="98">
        <v>19</v>
      </c>
      <c r="U597" s="98">
        <v>18</v>
      </c>
      <c r="V597" s="98">
        <v>19</v>
      </c>
      <c r="W597" s="98">
        <v>19</v>
      </c>
      <c r="X597" s="98">
        <v>18</v>
      </c>
      <c r="Y597" s="98">
        <v>17</v>
      </c>
      <c r="Z597" s="98">
        <v>17</v>
      </c>
      <c r="AA597" s="98">
        <v>21</v>
      </c>
      <c r="AB597" s="98">
        <v>20</v>
      </c>
      <c r="AC597" s="98">
        <v>18</v>
      </c>
      <c r="AD597" s="98">
        <v>16</v>
      </c>
      <c r="AE597" s="109"/>
      <c r="AF597" s="109"/>
      <c r="AG597" s="109"/>
    </row>
    <row r="598" spans="1:51" x14ac:dyDescent="0.3">
      <c r="A598" s="7">
        <v>593</v>
      </c>
      <c r="B598" s="7" t="s">
        <v>906</v>
      </c>
      <c r="C598" s="7" t="s">
        <v>907</v>
      </c>
      <c r="D598" s="8">
        <f>'CDC Source Data'!D87</f>
        <v>991508</v>
      </c>
      <c r="E598" s="8">
        <f>'CDC Source Data'!E87</f>
        <v>0</v>
      </c>
      <c r="F598" s="31">
        <f t="shared" si="9"/>
        <v>0</v>
      </c>
      <c r="G598" s="9">
        <f>'CDC Source Data'!F87</f>
        <v>0</v>
      </c>
      <c r="H598" s="7">
        <f>'CDC Source Data'!G87</f>
        <v>0</v>
      </c>
      <c r="I598" s="100"/>
      <c r="J598" s="100"/>
      <c r="K598" s="100"/>
      <c r="L598" s="100"/>
      <c r="M598" s="100"/>
      <c r="N598" s="100"/>
      <c r="O598" s="100"/>
      <c r="P598" s="100"/>
      <c r="Q598" s="100"/>
      <c r="R598" s="100"/>
      <c r="S598" s="100"/>
      <c r="T598" s="100"/>
      <c r="U598" s="100"/>
      <c r="V598" s="100"/>
      <c r="W598" s="100"/>
      <c r="X598" s="100"/>
      <c r="Y598" s="100"/>
      <c r="Z598" s="100"/>
      <c r="AA598" s="100"/>
      <c r="AB598" s="100"/>
      <c r="AC598" s="100"/>
      <c r="AD598" s="109"/>
      <c r="AE598" s="109"/>
      <c r="AF598" s="109"/>
      <c r="AG598" s="109"/>
    </row>
    <row r="599" spans="1:51" x14ac:dyDescent="0.3">
      <c r="A599" s="7">
        <v>594</v>
      </c>
      <c r="B599" s="7" t="s">
        <v>908</v>
      </c>
      <c r="C599" s="7" t="s">
        <v>475</v>
      </c>
      <c r="D599" s="8">
        <f>'CDC Source Data'!D90</f>
        <v>112628</v>
      </c>
      <c r="E599" s="8">
        <f>'CDC Source Data'!E90</f>
        <v>0</v>
      </c>
      <c r="F599" s="31">
        <f t="shared" si="9"/>
        <v>0</v>
      </c>
      <c r="G599" s="9">
        <f>'CDC Source Data'!F90</f>
        <v>0</v>
      </c>
      <c r="H599" s="7">
        <f>'CDC Source Data'!G90</f>
        <v>0</v>
      </c>
      <c r="I599" s="97">
        <v>7</v>
      </c>
      <c r="J599" s="97">
        <v>7.3</v>
      </c>
      <c r="K599" s="98">
        <v>13</v>
      </c>
      <c r="L599" s="98">
        <v>15</v>
      </c>
      <c r="M599" s="98">
        <v>18</v>
      </c>
      <c r="N599" s="98">
        <v>16</v>
      </c>
      <c r="O599" s="98">
        <v>12</v>
      </c>
      <c r="P599" s="98">
        <v>10</v>
      </c>
      <c r="Q599" s="100"/>
      <c r="R599" s="100"/>
      <c r="S599" s="98">
        <v>10</v>
      </c>
      <c r="T599" s="98">
        <v>11</v>
      </c>
      <c r="U599" s="98">
        <v>14</v>
      </c>
      <c r="V599" s="98">
        <v>13</v>
      </c>
      <c r="W599" s="98">
        <v>10</v>
      </c>
      <c r="X599" s="98">
        <v>12</v>
      </c>
      <c r="Y599" s="98">
        <v>10</v>
      </c>
      <c r="Z599" s="100"/>
      <c r="AA599" s="98">
        <v>10</v>
      </c>
      <c r="AB599" s="100"/>
      <c r="AC599" s="100"/>
      <c r="AD599" s="109"/>
      <c r="AE599" s="109"/>
      <c r="AF599" s="109"/>
      <c r="AG599" s="109"/>
    </row>
    <row r="600" spans="1:51" ht="16.8" customHeight="1" x14ac:dyDescent="0.3">
      <c r="A600" s="7">
        <v>595</v>
      </c>
      <c r="B600" s="7" t="s">
        <v>909</v>
      </c>
      <c r="C600" s="7" t="s">
        <v>19</v>
      </c>
      <c r="D600" s="8">
        <f>'CDC Source Data'!D95</f>
        <v>159805</v>
      </c>
      <c r="E600" s="8">
        <f>'CDC Source Data'!E95</f>
        <v>0</v>
      </c>
      <c r="F600" s="31">
        <f t="shared" si="9"/>
        <v>0</v>
      </c>
      <c r="G600" s="9">
        <f>'CDC Source Data'!F95</f>
        <v>0.09</v>
      </c>
      <c r="H600" s="7" t="str">
        <f>'CDC Source Data'!G95</f>
        <v>Completeness of provisional 2019 data under 90% after 6 months.</v>
      </c>
      <c r="I600" s="97">
        <v>10</v>
      </c>
      <c r="J600" s="97">
        <v>10.4</v>
      </c>
      <c r="K600" s="98">
        <v>13</v>
      </c>
      <c r="L600" s="98">
        <v>15</v>
      </c>
      <c r="M600" s="98">
        <v>17</v>
      </c>
      <c r="N600" s="98">
        <v>15</v>
      </c>
      <c r="O600" s="98">
        <v>12</v>
      </c>
      <c r="P600" s="98">
        <v>15</v>
      </c>
      <c r="Q600" s="98">
        <v>11</v>
      </c>
      <c r="R600" s="98">
        <v>12</v>
      </c>
      <c r="S600" s="98">
        <v>17</v>
      </c>
      <c r="T600" s="98">
        <v>12</v>
      </c>
      <c r="U600" s="98">
        <v>17</v>
      </c>
      <c r="V600" s="98">
        <v>18</v>
      </c>
      <c r="W600" s="98">
        <v>16</v>
      </c>
      <c r="X600" s="98">
        <v>17</v>
      </c>
      <c r="Y600" s="98">
        <v>13</v>
      </c>
      <c r="Z600" s="98">
        <v>12</v>
      </c>
      <c r="AA600" s="98">
        <v>13</v>
      </c>
      <c r="AB600" s="98">
        <v>14</v>
      </c>
      <c r="AC600" s="98">
        <v>17</v>
      </c>
      <c r="AD600" s="109"/>
      <c r="AE600" s="109"/>
      <c r="AF600" s="109"/>
      <c r="AG600" s="109"/>
    </row>
    <row r="601" spans="1:51" ht="16.8" customHeight="1" x14ac:dyDescent="0.3">
      <c r="A601" s="83" t="s">
        <v>52</v>
      </c>
      <c r="B601" s="7" t="s">
        <v>707</v>
      </c>
      <c r="C601" s="7" t="s">
        <v>262</v>
      </c>
      <c r="D601" s="8">
        <f>'CDC Source Data'!D149</f>
        <v>101335</v>
      </c>
      <c r="E601" s="8">
        <f>'CDC Source Data'!E149</f>
        <v>0</v>
      </c>
      <c r="F601" s="31">
        <f t="shared" si="9"/>
        <v>0</v>
      </c>
      <c r="G601" s="9">
        <f>'CDC Source Data'!F149</f>
        <v>0</v>
      </c>
      <c r="H601" s="7">
        <f>'CDC Source Data'!G149</f>
        <v>0</v>
      </c>
      <c r="I601" s="97">
        <v>12.7</v>
      </c>
      <c r="J601" s="97">
        <v>13.3</v>
      </c>
      <c r="K601" s="98">
        <v>13</v>
      </c>
      <c r="L601" s="98">
        <v>19</v>
      </c>
      <c r="M601" s="98">
        <v>19</v>
      </c>
      <c r="N601" s="98">
        <v>21</v>
      </c>
      <c r="O601" s="98">
        <v>22</v>
      </c>
      <c r="P601" s="98">
        <v>21</v>
      </c>
      <c r="Q601" s="98">
        <v>23</v>
      </c>
      <c r="R601" s="98">
        <v>23</v>
      </c>
      <c r="S601" s="98">
        <v>25</v>
      </c>
      <c r="T601" s="98">
        <v>24</v>
      </c>
      <c r="U601" s="98">
        <v>20</v>
      </c>
      <c r="V601" s="98">
        <v>21</v>
      </c>
      <c r="W601" s="98">
        <v>19</v>
      </c>
      <c r="X601" s="98">
        <v>16</v>
      </c>
      <c r="Y601" s="98">
        <v>19</v>
      </c>
      <c r="Z601" s="98">
        <v>15</v>
      </c>
      <c r="AA601" s="98">
        <v>15</v>
      </c>
      <c r="AB601" s="98">
        <v>12</v>
      </c>
      <c r="AC601" s="98">
        <v>11</v>
      </c>
      <c r="AD601" s="109"/>
      <c r="AE601" s="109"/>
      <c r="AF601" s="109"/>
      <c r="AG601" s="109"/>
    </row>
    <row r="602" spans="1:51" x14ac:dyDescent="0.3">
      <c r="A602" s="84" t="s">
        <v>910</v>
      </c>
      <c r="B602" s="7" t="s">
        <v>911</v>
      </c>
      <c r="C602" s="7" t="s">
        <v>588</v>
      </c>
      <c r="D602" s="8">
        <f>'CDC Source Data'!D186</f>
        <v>131611</v>
      </c>
      <c r="E602" s="8">
        <f>'CDC Source Data'!E186</f>
        <v>0</v>
      </c>
      <c r="F602" s="31">
        <f t="shared" si="9"/>
        <v>0</v>
      </c>
      <c r="G602" s="9">
        <f>'CDC Source Data'!F186</f>
        <v>0</v>
      </c>
      <c r="H602" s="7" t="str">
        <f>'CDC Source Data'!G186</f>
        <v>Completeness of provisional 2019 data under 90% after 6 months.</v>
      </c>
      <c r="I602" s="97">
        <v>14.4</v>
      </c>
      <c r="J602" s="97">
        <v>15.1</v>
      </c>
      <c r="K602" s="98">
        <v>19</v>
      </c>
      <c r="L602" s="98">
        <v>21</v>
      </c>
      <c r="M602" s="98">
        <v>20</v>
      </c>
      <c r="N602" s="98">
        <v>19</v>
      </c>
      <c r="O602" s="98">
        <v>17</v>
      </c>
      <c r="P602" s="98">
        <v>21</v>
      </c>
      <c r="Q602" s="98">
        <v>20</v>
      </c>
      <c r="R602" s="98">
        <v>18</v>
      </c>
      <c r="S602" s="98">
        <v>23</v>
      </c>
      <c r="T602" s="98">
        <v>20</v>
      </c>
      <c r="U602" s="98">
        <v>20</v>
      </c>
      <c r="V602" s="98">
        <v>21</v>
      </c>
      <c r="W602" s="98">
        <v>16</v>
      </c>
      <c r="X602" s="98">
        <v>15</v>
      </c>
      <c r="Y602" s="98">
        <v>13</v>
      </c>
      <c r="Z602" s="98">
        <v>13</v>
      </c>
      <c r="AA602" s="98">
        <v>12</v>
      </c>
      <c r="AB602" s="100"/>
      <c r="AC602" s="100"/>
      <c r="AD602" s="109"/>
      <c r="AE602" s="109"/>
      <c r="AF602" s="109"/>
      <c r="AG602" s="109"/>
    </row>
    <row r="603" spans="1:51" x14ac:dyDescent="0.3">
      <c r="A603" s="7">
        <v>598</v>
      </c>
      <c r="B603" s="7" t="s">
        <v>509</v>
      </c>
      <c r="C603" s="7" t="s">
        <v>469</v>
      </c>
      <c r="D603" s="8">
        <f>'CDC Source Data'!D189</f>
        <v>125107</v>
      </c>
      <c r="E603" s="8">
        <f>'CDC Source Data'!E189</f>
        <v>0</v>
      </c>
      <c r="F603" s="31">
        <f t="shared" si="9"/>
        <v>0</v>
      </c>
      <c r="G603" s="9">
        <f>'CDC Source Data'!F189</f>
        <v>0.09</v>
      </c>
      <c r="H603" s="7">
        <f>'CDC Source Data'!G189</f>
        <v>0</v>
      </c>
      <c r="I603" s="97">
        <v>12.3</v>
      </c>
      <c r="J603" s="97">
        <v>12.9</v>
      </c>
      <c r="K603" s="98">
        <v>14</v>
      </c>
      <c r="L603" s="98">
        <v>13</v>
      </c>
      <c r="M603" s="98">
        <v>10</v>
      </c>
      <c r="N603" s="98">
        <v>11</v>
      </c>
      <c r="O603" s="98">
        <v>11</v>
      </c>
      <c r="P603" s="98">
        <v>17</v>
      </c>
      <c r="Q603" s="98">
        <v>24</v>
      </c>
      <c r="R603" s="98">
        <v>23</v>
      </c>
      <c r="S603" s="98">
        <v>25</v>
      </c>
      <c r="T603" s="98">
        <v>17</v>
      </c>
      <c r="U603" s="98">
        <v>12</v>
      </c>
      <c r="V603" s="98">
        <v>12</v>
      </c>
      <c r="W603" s="98">
        <v>11</v>
      </c>
      <c r="X603" s="98">
        <v>15</v>
      </c>
      <c r="Y603" s="98">
        <v>17</v>
      </c>
      <c r="Z603" s="98">
        <v>20</v>
      </c>
      <c r="AA603" s="98">
        <v>19</v>
      </c>
      <c r="AB603" s="98">
        <v>17</v>
      </c>
      <c r="AC603" s="98">
        <v>12</v>
      </c>
      <c r="AD603" s="109"/>
      <c r="AE603" s="109"/>
      <c r="AF603" s="109"/>
      <c r="AG603" s="109"/>
    </row>
    <row r="604" spans="1:51" x14ac:dyDescent="0.3">
      <c r="A604" s="85" t="s">
        <v>54</v>
      </c>
      <c r="B604" s="76" t="b">
        <v>1</v>
      </c>
      <c r="C604" s="76" t="b">
        <v>1</v>
      </c>
      <c r="D604" s="86" t="b">
        <v>1</v>
      </c>
      <c r="E604" s="86" t="b">
        <v>1</v>
      </c>
      <c r="F604" s="87" t="b">
        <v>1</v>
      </c>
      <c r="G604" s="88" t="b">
        <v>1</v>
      </c>
      <c r="H604" s="78" t="b">
        <v>0</v>
      </c>
      <c r="I604" s="104"/>
      <c r="J604" s="104"/>
      <c r="K604" s="104"/>
      <c r="L604" s="104"/>
      <c r="M604" s="104"/>
      <c r="N604" s="104"/>
      <c r="O604" s="105"/>
      <c r="P604" s="104"/>
      <c r="Q604" s="104"/>
      <c r="R604" s="105"/>
      <c r="S604" s="104"/>
      <c r="T604" s="104"/>
      <c r="U604" s="104"/>
      <c r="V604" s="105"/>
      <c r="W604" s="104"/>
      <c r="X604" s="104"/>
      <c r="Y604" s="104"/>
      <c r="Z604" s="104"/>
      <c r="AA604" s="104"/>
      <c r="AB604" s="105"/>
      <c r="AC604" s="104"/>
      <c r="AD604" s="110"/>
      <c r="AE604" s="110"/>
      <c r="AF604" s="110"/>
      <c r="AG604" s="110"/>
      <c r="AH604" s="78" t="b">
        <v>0</v>
      </c>
      <c r="AI604" s="76" t="b">
        <v>1</v>
      </c>
      <c r="AJ604" s="78" t="b">
        <v>0</v>
      </c>
      <c r="AK604" s="78" t="b">
        <v>0</v>
      </c>
      <c r="AL604" s="76" t="b">
        <v>1</v>
      </c>
      <c r="AM604" s="78" t="b">
        <v>0</v>
      </c>
      <c r="AN604" s="78" t="b">
        <v>0</v>
      </c>
      <c r="AO604" s="78" t="b">
        <v>0</v>
      </c>
      <c r="AP604" s="78" t="b">
        <v>0</v>
      </c>
      <c r="AQ604" s="78" t="b">
        <v>0</v>
      </c>
      <c r="AR604" s="78" t="b">
        <v>0</v>
      </c>
      <c r="AS604" s="78" t="b">
        <v>0</v>
      </c>
      <c r="AT604" s="78" t="b">
        <v>0</v>
      </c>
      <c r="AU604" s="76" t="b">
        <v>1</v>
      </c>
      <c r="AV604" s="76" t="b">
        <v>1</v>
      </c>
      <c r="AW604" s="78" t="b">
        <v>0</v>
      </c>
      <c r="AX604" s="78" t="b">
        <v>0</v>
      </c>
      <c r="AY604" s="78" t="b">
        <v>0</v>
      </c>
    </row>
    <row r="605" spans="1:51" x14ac:dyDescent="0.3">
      <c r="A605" s="7">
        <v>600</v>
      </c>
      <c r="B605" s="7" t="s">
        <v>912</v>
      </c>
      <c r="C605" s="7" t="s">
        <v>604</v>
      </c>
      <c r="D605" s="8">
        <f>'CDC Source Data'!D216</f>
        <v>126679</v>
      </c>
      <c r="E605" s="8">
        <f>'CDC Source Data'!E216</f>
        <v>0</v>
      </c>
      <c r="F605" s="31">
        <f>IFERROR(E604/D604*100000,"")</f>
        <v>100000</v>
      </c>
      <c r="G605" s="9">
        <f>'CDC Source Data'!F216</f>
        <v>7.0000000000000007E-2</v>
      </c>
      <c r="H605" s="7">
        <f>'CDC Source Data'!G216</f>
        <v>0</v>
      </c>
      <c r="I605" s="97">
        <v>10.5</v>
      </c>
      <c r="J605" s="97">
        <v>10.9</v>
      </c>
      <c r="K605" s="98">
        <v>19</v>
      </c>
      <c r="L605" s="98">
        <v>19</v>
      </c>
      <c r="M605" s="98">
        <v>14</v>
      </c>
      <c r="N605" s="98">
        <v>12</v>
      </c>
      <c r="O605" s="100"/>
      <c r="P605" s="98">
        <v>11</v>
      </c>
      <c r="Q605" s="98">
        <v>14</v>
      </c>
      <c r="R605" s="98">
        <v>13</v>
      </c>
      <c r="S605" s="98">
        <v>13</v>
      </c>
      <c r="T605" s="98">
        <v>10</v>
      </c>
      <c r="U605" s="100"/>
      <c r="V605" s="100"/>
      <c r="W605" s="98">
        <v>10</v>
      </c>
      <c r="X605" s="98">
        <v>13</v>
      </c>
      <c r="Y605" s="98">
        <v>16</v>
      </c>
      <c r="Z605" s="98">
        <v>17</v>
      </c>
      <c r="AA605" s="98">
        <v>13</v>
      </c>
      <c r="AB605" s="98">
        <v>13</v>
      </c>
      <c r="AC605" s="98">
        <v>11</v>
      </c>
      <c r="AD605" s="98">
        <v>10</v>
      </c>
      <c r="AE605" s="98">
        <v>10</v>
      </c>
      <c r="AF605" s="98">
        <v>10</v>
      </c>
      <c r="AG605" s="109"/>
    </row>
    <row r="606" spans="1:51" x14ac:dyDescent="0.3">
      <c r="A606" s="89" t="s">
        <v>55</v>
      </c>
      <c r="B606" s="89" t="s">
        <v>56</v>
      </c>
      <c r="C606" s="89" t="s">
        <v>273</v>
      </c>
      <c r="D606" s="90" t="s">
        <v>240</v>
      </c>
      <c r="E606" s="90" t="s">
        <v>241</v>
      </c>
      <c r="F606" s="91" t="s">
        <v>242</v>
      </c>
      <c r="G606" s="92" t="s">
        <v>57</v>
      </c>
      <c r="H606" s="89" t="s">
        <v>58</v>
      </c>
      <c r="I606" s="97">
        <v>15.6</v>
      </c>
      <c r="J606" s="97">
        <v>16.3</v>
      </c>
      <c r="K606" s="98">
        <v>21</v>
      </c>
      <c r="L606" s="98">
        <v>20</v>
      </c>
      <c r="M606" s="98">
        <v>27</v>
      </c>
      <c r="N606" s="98">
        <v>30</v>
      </c>
      <c r="O606" s="106">
        <v>37</v>
      </c>
      <c r="P606" s="98">
        <v>39</v>
      </c>
      <c r="Q606" s="98">
        <v>34</v>
      </c>
      <c r="R606" s="106">
        <v>29</v>
      </c>
      <c r="S606" s="98">
        <v>26</v>
      </c>
      <c r="T606" s="98">
        <v>25</v>
      </c>
      <c r="U606" s="98">
        <v>30</v>
      </c>
      <c r="V606" s="106">
        <v>34</v>
      </c>
      <c r="W606" s="98">
        <v>34</v>
      </c>
      <c r="X606" s="98">
        <v>36</v>
      </c>
      <c r="Y606" s="98">
        <v>32</v>
      </c>
      <c r="Z606" s="98">
        <v>35</v>
      </c>
      <c r="AA606" s="98">
        <v>34</v>
      </c>
      <c r="AB606" s="106">
        <v>29</v>
      </c>
      <c r="AC606" s="98">
        <v>25</v>
      </c>
      <c r="AD606" s="98">
        <v>10</v>
      </c>
      <c r="AE606" s="98">
        <v>11</v>
      </c>
      <c r="AF606" s="109"/>
      <c r="AG606" s="109"/>
      <c r="AH606" s="5" t="s">
        <v>283</v>
      </c>
      <c r="AI606" s="80" t="s">
        <v>284</v>
      </c>
      <c r="AJ606" s="5" t="s">
        <v>246</v>
      </c>
      <c r="AK606" s="5" t="s">
        <v>72</v>
      </c>
      <c r="AL606" s="80" t="s">
        <v>73</v>
      </c>
      <c r="AM606" s="5" t="s">
        <v>285</v>
      </c>
      <c r="AN606" s="5" t="s">
        <v>74</v>
      </c>
      <c r="AO606" s="5" t="s">
        <v>75</v>
      </c>
      <c r="AP606" s="5" t="s">
        <v>286</v>
      </c>
      <c r="AQ606" s="5" t="s">
        <v>76</v>
      </c>
      <c r="AR606" s="5" t="s">
        <v>287</v>
      </c>
      <c r="AS606" s="5" t="s">
        <v>77</v>
      </c>
      <c r="AT606" s="5" t="s">
        <v>78</v>
      </c>
      <c r="AU606" s="80" t="s">
        <v>288</v>
      </c>
      <c r="AV606" s="80" t="s">
        <v>289</v>
      </c>
      <c r="AW606" s="5" t="s">
        <v>290</v>
      </c>
      <c r="AX606" s="5" t="s">
        <v>291</v>
      </c>
      <c r="AY606" s="5" t="s">
        <v>79</v>
      </c>
    </row>
    <row r="607" spans="1:51" x14ac:dyDescent="0.3">
      <c r="A607" s="93" t="s">
        <v>81</v>
      </c>
      <c r="B607" s="31" t="e">
        <f>IF(B$603,120.19,NA())</f>
        <v>#VALUE!</v>
      </c>
      <c r="C607" s="31" t="e">
        <f>IF(C$603,32.96,NA())</f>
        <v>#VALUE!</v>
      </c>
      <c r="D607" s="31">
        <f>IF(D$603,88.67,NA())</f>
        <v>88.67</v>
      </c>
      <c r="E607" s="31" t="e">
        <f>IF(E$603,18.65,NA())</f>
        <v>#N/A</v>
      </c>
      <c r="F607" s="31" t="e">
        <f>IF(F$603,24.48,NA())</f>
        <v>#N/A</v>
      </c>
      <c r="G607" s="31">
        <f>IF(G$603,14.93,NA())</f>
        <v>14.93</v>
      </c>
      <c r="H607" s="31" t="e">
        <f>IF(H$603,49.06,NA())</f>
        <v>#N/A</v>
      </c>
      <c r="I607" s="97">
        <v>8.8000000000000007</v>
      </c>
      <c r="J607" s="97">
        <v>9.1999999999999993</v>
      </c>
      <c r="K607" s="98">
        <v>17</v>
      </c>
      <c r="L607" s="98">
        <v>16</v>
      </c>
      <c r="M607" s="98">
        <v>20</v>
      </c>
      <c r="N607" s="98">
        <v>20</v>
      </c>
      <c r="O607" s="98">
        <v>23</v>
      </c>
      <c r="P607" s="98">
        <v>24</v>
      </c>
      <c r="Q607" s="98">
        <v>23</v>
      </c>
      <c r="R607" s="98">
        <v>22</v>
      </c>
      <c r="S607" s="98">
        <v>18</v>
      </c>
      <c r="T607" s="98">
        <v>19</v>
      </c>
      <c r="U607" s="98">
        <v>19</v>
      </c>
      <c r="V607" s="98">
        <v>21</v>
      </c>
      <c r="W607" s="98">
        <v>25</v>
      </c>
      <c r="X607" s="98">
        <v>28</v>
      </c>
      <c r="Y607" s="98">
        <v>33</v>
      </c>
      <c r="Z607" s="98">
        <v>33</v>
      </c>
      <c r="AA607" s="98">
        <v>34</v>
      </c>
      <c r="AB607" s="98">
        <v>32</v>
      </c>
      <c r="AC607" s="98">
        <v>29</v>
      </c>
      <c r="AD607" s="111"/>
      <c r="AE607" s="111"/>
      <c r="AF607" s="111"/>
      <c r="AG607" s="111"/>
      <c r="AH607" s="82" t="e">
        <f>IF(AH$603,18.52,NA())</f>
        <v>#N/A</v>
      </c>
      <c r="AI607" s="82" t="e">
        <f>IF(AI$603,13.56,NA())</f>
        <v>#N/A</v>
      </c>
      <c r="AJ607" s="82" t="e">
        <f>IF(AJ$603,47.08,NA())</f>
        <v>#N/A</v>
      </c>
      <c r="AK607" s="82" t="e">
        <f>IF(AK$603,44.44,NA())</f>
        <v>#N/A</v>
      </c>
      <c r="AL607" s="82" t="e">
        <f>IF(AL$603,12.88,NA())</f>
        <v>#N/A</v>
      </c>
      <c r="AM607" s="82" t="e">
        <f>IF(AM$603,18.6,NA())</f>
        <v>#N/A</v>
      </c>
      <c r="AN607" s="82" t="e">
        <f>IF(AN$603,41.32,NA())</f>
        <v>#N/A</v>
      </c>
      <c r="AO607" s="82" t="e">
        <f>IF(AO$603,28.61,NA())</f>
        <v>#N/A</v>
      </c>
      <c r="AP607" s="82" t="e">
        <f>IF(AP$603,30.62,NA())</f>
        <v>#N/A</v>
      </c>
      <c r="AQ607" s="82" t="e">
        <f>IF(AQ$603,26.81,NA())</f>
        <v>#N/A</v>
      </c>
      <c r="AR607" s="82" t="e">
        <f>IF(AR$603,19.67,NA())</f>
        <v>#N/A</v>
      </c>
      <c r="AS607" s="82" t="e">
        <f>IF(AS$603,45.57,NA())</f>
        <v>#N/A</v>
      </c>
      <c r="AT607" s="82" t="e">
        <f>IF(AT$603,30.97,NA())</f>
        <v>#N/A</v>
      </c>
      <c r="AU607" s="82" t="e">
        <f>IF(AU$603,11.46,NA())</f>
        <v>#N/A</v>
      </c>
      <c r="AV607" s="82" t="e">
        <f>IF(AV$603,9.36,NA())</f>
        <v>#N/A</v>
      </c>
      <c r="AW607" s="82" t="e">
        <f>IF(AW$603,33.94,NA())</f>
        <v>#N/A</v>
      </c>
      <c r="AX607" s="82" t="e">
        <f>IF(AX$603,17,NA())</f>
        <v>#N/A</v>
      </c>
      <c r="AY607" s="82" t="e">
        <f>IF(AY$603,27.77,NA())</f>
        <v>#N/A</v>
      </c>
    </row>
    <row r="608" spans="1:51" x14ac:dyDescent="0.3">
      <c r="A608" s="93" t="s">
        <v>82</v>
      </c>
      <c r="B608" s="31" t="e">
        <f>IF(B$603,117.9,NA())</f>
        <v>#VALUE!</v>
      </c>
      <c r="C608" s="31" t="e">
        <f>IF(C$603,33.59,NA())</f>
        <v>#VALUE!</v>
      </c>
      <c r="D608" s="31">
        <f>IF(D$603,89.03,NA())</f>
        <v>89.03</v>
      </c>
      <c r="E608" s="31" t="e">
        <f>IF(E$603,18.3,NA())</f>
        <v>#N/A</v>
      </c>
      <c r="F608" s="31" t="e">
        <f>IF(F$603,25.92,NA())</f>
        <v>#N/A</v>
      </c>
      <c r="G608" s="31">
        <f>IF(G$603,15.29,NA())</f>
        <v>15.29</v>
      </c>
      <c r="H608" s="31" t="e">
        <f>IF(H$603,50.27,NA())</f>
        <v>#N/A</v>
      </c>
      <c r="I608" s="97">
        <v>12.1</v>
      </c>
      <c r="J608" s="97">
        <v>12.7</v>
      </c>
      <c r="K608" s="107"/>
      <c r="L608" s="107"/>
      <c r="M608" s="107"/>
      <c r="N608" s="107"/>
      <c r="O608" s="107"/>
      <c r="P608" s="107"/>
      <c r="Q608" s="107"/>
      <c r="R608" s="107"/>
      <c r="S608" s="107"/>
      <c r="T608" s="107"/>
      <c r="U608" s="107"/>
      <c r="V608" s="107"/>
      <c r="W608" s="107"/>
      <c r="X608" s="107"/>
      <c r="Y608" s="107"/>
      <c r="Z608" s="107"/>
      <c r="AA608" s="107"/>
      <c r="AB608" s="107"/>
      <c r="AC608" s="107"/>
      <c r="AD608" s="111"/>
      <c r="AE608" s="111"/>
      <c r="AF608" s="111"/>
      <c r="AG608" s="111"/>
      <c r="AH608" s="82" t="e">
        <f>IF(AH$603,19.04,NA())</f>
        <v>#N/A</v>
      </c>
      <c r="AI608" s="82" t="e">
        <f>IF(AI$603,14.31,NA())</f>
        <v>#N/A</v>
      </c>
      <c r="AJ608" s="82" t="e">
        <f>IF(AJ$603,47.51,NA())</f>
        <v>#N/A</v>
      </c>
      <c r="AK608" s="82" t="e">
        <f>IF(AK$603,46.5,NA())</f>
        <v>#N/A</v>
      </c>
      <c r="AL608" s="82" t="e">
        <f>IF(AL$603,12.21,NA())</f>
        <v>#N/A</v>
      </c>
      <c r="AM608" s="82" t="e">
        <f>IF(AM$603,19.29,NA())</f>
        <v>#N/A</v>
      </c>
      <c r="AN608" s="82" t="e">
        <f>IF(AN$603,42.83,NA())</f>
        <v>#N/A</v>
      </c>
      <c r="AO608" s="82" t="e">
        <f>IF(AO$603,30.18,NA())</f>
        <v>#N/A</v>
      </c>
      <c r="AP608" s="82" t="e">
        <f>IF(AP$603,33.73,NA())</f>
        <v>#N/A</v>
      </c>
      <c r="AQ608" s="82" t="e">
        <f>IF(AQ$603,27.8,NA())</f>
        <v>#N/A</v>
      </c>
      <c r="AR608" s="82" t="e">
        <f>IF(AR$603,19.11,NA())</f>
        <v>#N/A</v>
      </c>
      <c r="AS608" s="82" t="e">
        <f>IF(AS$603,45.4,NA())</f>
        <v>#N/A</v>
      </c>
      <c r="AT608" s="82" t="e">
        <f>IF(AT$603,32.73,NA())</f>
        <v>#N/A</v>
      </c>
      <c r="AU608" s="82" t="e">
        <f>IF(AU$603,12.41,NA())</f>
        <v>#N/A</v>
      </c>
      <c r="AV608" s="82" t="e">
        <f>IF(AV$603,8.51,NA())</f>
        <v>#N/A</v>
      </c>
      <c r="AW608" s="82" t="e">
        <f>IF(AW$603,30.94,NA())</f>
        <v>#N/A</v>
      </c>
      <c r="AX608" s="82" t="e">
        <f>IF(AX$603,16.15,NA())</f>
        <v>#N/A</v>
      </c>
      <c r="AY608" s="82" t="e">
        <f>IF(AY$603,28.07,NA())</f>
        <v>#N/A</v>
      </c>
    </row>
    <row r="609" spans="1:51" x14ac:dyDescent="0.3">
      <c r="A609" s="93" t="s">
        <v>83</v>
      </c>
      <c r="B609" s="31" t="e">
        <f>IF(B$603,117.9,NA())</f>
        <v>#VALUE!</v>
      </c>
      <c r="C609" s="31" t="e">
        <f>IF(C$603,36.13,NA())</f>
        <v>#VALUE!</v>
      </c>
      <c r="D609" s="31">
        <f>IF(D$603,93.67,NA())</f>
        <v>93.67</v>
      </c>
      <c r="E609" s="31" t="e">
        <f>IF(E$603,18.3,NA())</f>
        <v>#N/A</v>
      </c>
      <c r="F609" s="31" t="e">
        <f>IF(F$603,24,NA())</f>
        <v>#N/A</v>
      </c>
      <c r="G609" s="31">
        <f>IF(G$603,15.83,NA())</f>
        <v>15.83</v>
      </c>
      <c r="H609" s="31" t="e">
        <f>IF(H$603,52.81,NA())</f>
        <v>#N/A</v>
      </c>
      <c r="I609" s="107"/>
      <c r="J609" s="107"/>
      <c r="K609" s="107"/>
      <c r="L609" s="107"/>
      <c r="M609" s="107"/>
      <c r="N609" s="107"/>
      <c r="O609" s="107"/>
      <c r="P609" s="107"/>
      <c r="Q609" s="107"/>
      <c r="R609" s="107"/>
      <c r="S609" s="107"/>
      <c r="T609" s="107"/>
      <c r="U609" s="107"/>
      <c r="V609" s="107"/>
      <c r="W609" s="107"/>
      <c r="X609" s="107"/>
      <c r="Y609" s="107"/>
      <c r="Z609" s="107"/>
      <c r="AA609" s="107"/>
      <c r="AB609" s="107"/>
      <c r="AC609" s="107"/>
      <c r="AD609" s="98">
        <v>15</v>
      </c>
      <c r="AE609" s="98">
        <v>17</v>
      </c>
      <c r="AF609" s="98">
        <v>15</v>
      </c>
      <c r="AG609" s="111"/>
      <c r="AH609" s="82" t="e">
        <f>IF(AH$603,20.07,NA())</f>
        <v>#N/A</v>
      </c>
      <c r="AI609" s="82" t="e">
        <f>IF(AI$603,17.33,NA())</f>
        <v>#N/A</v>
      </c>
      <c r="AJ609" s="82" t="e">
        <f>IF(AJ$603,49.22,NA())</f>
        <v>#N/A</v>
      </c>
      <c r="AK609" s="82" t="e">
        <f>IF(AK$603,46.5,NA())</f>
        <v>#N/A</v>
      </c>
      <c r="AL609" s="82" t="e">
        <f>IF(AL$603,10.89,NA())</f>
        <v>#N/A</v>
      </c>
      <c r="AM609" s="82" t="e">
        <f>IF(AM$603,22.04,NA())</f>
        <v>#N/A</v>
      </c>
      <c r="AN609" s="82" t="e">
        <f>IF(AN$603,44.34,NA())</f>
        <v>#N/A</v>
      </c>
      <c r="AO609" s="82" t="e">
        <f>IF(AO$603,30.09,NA())</f>
        <v>#N/A</v>
      </c>
      <c r="AP609" s="82" t="e">
        <f>IF(AP$603,34.77,NA())</f>
        <v>#N/A</v>
      </c>
      <c r="AQ609" s="82" t="e">
        <f>IF(AQ$603,27.4,NA())</f>
        <v>#N/A</v>
      </c>
      <c r="AR609" s="82" t="e">
        <f>IF(AR$603,19.11,NA())</f>
        <v>#N/A</v>
      </c>
      <c r="AS609" s="82" t="e">
        <f>IF(AS$603,47.27,NA())</f>
        <v>#N/A</v>
      </c>
      <c r="AT609" s="82" t="e">
        <f>IF(AT$603,33.5,NA())</f>
        <v>#N/A</v>
      </c>
      <c r="AU609" s="82" t="e">
        <f>IF(AU$603,11.46,NA())</f>
        <v>#N/A</v>
      </c>
      <c r="AV609" s="82" t="e">
        <f>IF(AV$603,9.36,NA())</f>
        <v>#N/A</v>
      </c>
      <c r="AW609" s="82" t="e">
        <f>IF(AW$603,27.95,NA())</f>
        <v>#N/A</v>
      </c>
      <c r="AX609" s="82" t="e">
        <f>IF(AX$603,14.45,NA())</f>
        <v>#N/A</v>
      </c>
      <c r="AY609" s="82" t="e">
        <f>IF(AY$603,31.7,NA())</f>
        <v>#N/A</v>
      </c>
    </row>
    <row r="610" spans="1:51" x14ac:dyDescent="0.3">
      <c r="A610" s="93" t="s">
        <v>84</v>
      </c>
      <c r="B610" s="31" t="e">
        <f>IF(B$603,117.2,NA())</f>
        <v>#VALUE!</v>
      </c>
      <c r="C610" s="31" t="e">
        <f>IF(C$603,36.13,NA())</f>
        <v>#VALUE!</v>
      </c>
      <c r="D610" s="31">
        <f>IF(D$603,97.25,NA())</f>
        <v>97.25</v>
      </c>
      <c r="E610" s="31" t="e">
        <f>IF(E$603,18.65,NA())</f>
        <v>#N/A</v>
      </c>
      <c r="F610" s="31" t="e">
        <f>IF(F$603,22.56,NA())</f>
        <v>#N/A</v>
      </c>
      <c r="G610" s="31">
        <f>IF(G$603,16.01,NA())</f>
        <v>16.010000000000002</v>
      </c>
      <c r="H610" s="31" t="e">
        <f>IF(H$603,55.22,NA())</f>
        <v>#N/A</v>
      </c>
      <c r="I610" s="97">
        <v>24.6</v>
      </c>
      <c r="J610" s="97">
        <v>25.7</v>
      </c>
      <c r="K610" s="107"/>
      <c r="L610" s="107"/>
      <c r="M610" s="107"/>
      <c r="N610" s="107"/>
      <c r="O610" s="107"/>
      <c r="P610" s="107"/>
      <c r="Q610" s="107"/>
      <c r="R610" s="107"/>
      <c r="S610" s="107"/>
      <c r="T610" s="107"/>
      <c r="U610" s="107"/>
      <c r="V610" s="107"/>
      <c r="W610" s="107"/>
      <c r="X610" s="107"/>
      <c r="Y610" s="107"/>
      <c r="Z610" s="107"/>
      <c r="AA610" s="107"/>
      <c r="AB610" s="107"/>
      <c r="AC610" s="107"/>
      <c r="AD610" s="111"/>
      <c r="AE610" s="111"/>
      <c r="AF610" s="111"/>
      <c r="AG610" s="111"/>
      <c r="AH610" s="82" t="e">
        <f>IF(AH$603,20.58,NA())</f>
        <v>#N/A</v>
      </c>
      <c r="AI610" s="82" t="e">
        <f>IF(AI$603,19.59,NA())</f>
        <v>#N/A</v>
      </c>
      <c r="AJ610" s="82" t="e">
        <f>IF(AJ$603,50.5,NA())</f>
        <v>#N/A</v>
      </c>
      <c r="AK610" s="82" t="e">
        <f>IF(AK$603,47.58,NA())</f>
        <v>#N/A</v>
      </c>
      <c r="AL610" s="82" t="e">
        <f>IF(AL$603,10.89,NA())</f>
        <v>#N/A</v>
      </c>
      <c r="AM610" s="82" t="e">
        <f>IF(AM$603,22.73,NA())</f>
        <v>#N/A</v>
      </c>
      <c r="AN610" s="82" t="e">
        <f>IF(AN$603,47.36,NA())</f>
        <v>#N/A</v>
      </c>
      <c r="AO610" s="82" t="e">
        <f>IF(AO$603,30.37,NA())</f>
        <v>#N/A</v>
      </c>
      <c r="AP610" s="82" t="e">
        <f>IF(AP$603,33.73,NA())</f>
        <v>#N/A</v>
      </c>
      <c r="AQ610" s="82" t="e">
        <f>IF(AQ$603,28.58,NA())</f>
        <v>#N/A</v>
      </c>
      <c r="AR610" s="82" t="e">
        <f>IF(AR$603,17.98,NA())</f>
        <v>#N/A</v>
      </c>
      <c r="AS610" s="82" t="e">
        <f>IF(AS$603,48.63,NA())</f>
        <v>#N/A</v>
      </c>
      <c r="AT610" s="82" t="e">
        <f>IF(AT$603,34.92,NA())</f>
        <v>#N/A</v>
      </c>
      <c r="AU610" s="82" t="e">
        <f>IF(AU$603,11.46,NA())</f>
        <v>#N/A</v>
      </c>
      <c r="AV610" s="82" t="e">
        <f>IF(AV$603,9.79,NA())</f>
        <v>#N/A</v>
      </c>
      <c r="AW610" s="82" t="e">
        <f>IF(AW$603,27.95,NA())</f>
        <v>#N/A</v>
      </c>
      <c r="AX610" s="82" t="e">
        <f>IF(AX$603,16.15,NA())</f>
        <v>#N/A</v>
      </c>
      <c r="AY610" s="82" t="e">
        <f>IF(AY$603,32,NA())</f>
        <v>#N/A</v>
      </c>
    </row>
    <row r="611" spans="1:51" x14ac:dyDescent="0.3">
      <c r="A611" s="93" t="s">
        <v>85</v>
      </c>
      <c r="B611" s="31" t="e">
        <f>IF(B$603,121.24,NA())</f>
        <v>#VALUE!</v>
      </c>
      <c r="C611" s="31" t="e">
        <f>IF(C$603,36.13,NA())</f>
        <v>#VALUE!</v>
      </c>
      <c r="D611" s="31">
        <f>IF(D$603,104.4,NA())</f>
        <v>104.4</v>
      </c>
      <c r="E611" s="31" t="e">
        <f>IF(E$603,20.37,NA())</f>
        <v>#N/A</v>
      </c>
      <c r="F611" s="31" t="e">
        <f>IF(F$603,23.52,NA())</f>
        <v>#N/A</v>
      </c>
      <c r="G611" s="31">
        <f>IF(G$603,15.29,NA())</f>
        <v>15.29</v>
      </c>
      <c r="H611" s="31" t="e">
        <f>IF(H$603,60.18,NA())</f>
        <v>#N/A</v>
      </c>
      <c r="I611" s="107"/>
      <c r="J611" s="107"/>
      <c r="K611" s="107"/>
      <c r="L611" s="107"/>
      <c r="M611" s="107"/>
      <c r="N611" s="107"/>
      <c r="O611" s="107"/>
      <c r="P611" s="107"/>
      <c r="Q611" s="107"/>
      <c r="R611" s="107"/>
      <c r="S611" s="107"/>
      <c r="T611" s="107"/>
      <c r="U611" s="107"/>
      <c r="V611" s="107"/>
      <c r="W611" s="107"/>
      <c r="X611" s="107"/>
      <c r="Y611" s="107"/>
      <c r="Z611" s="107"/>
      <c r="AA611" s="107"/>
      <c r="AB611" s="107"/>
      <c r="AC611" s="107"/>
      <c r="AD611" s="98">
        <v>14</v>
      </c>
      <c r="AE611" s="111"/>
      <c r="AF611" s="111"/>
      <c r="AG611" s="111"/>
      <c r="AH611" s="82" t="e">
        <f>IF(AH$603,22.64,NA())</f>
        <v>#N/A</v>
      </c>
      <c r="AI611" s="82" t="e">
        <f>IF(AI$603,20.34,NA())</f>
        <v>#N/A</v>
      </c>
      <c r="AJ611" s="82" t="e">
        <f>IF(AJ$603,53.5,NA())</f>
        <v>#N/A</v>
      </c>
      <c r="AK611" s="82" t="e">
        <f>IF(AK$603,50.72,NA())</f>
        <v>#N/A</v>
      </c>
      <c r="AL611" s="82" t="e">
        <f>IF(AL$603,11.55,NA())</f>
        <v>#N/A</v>
      </c>
      <c r="AM611" s="82" t="e">
        <f>IF(AM$603,22.04,NA())</f>
        <v>#N/A</v>
      </c>
      <c r="AN611" s="82" t="e">
        <f>IF(AN$603,52.4,NA())</f>
        <v>#N/A</v>
      </c>
      <c r="AO611" s="82" t="e">
        <f>IF(AO$603,30.74,NA())</f>
        <v>#N/A</v>
      </c>
      <c r="AP611" s="82" t="e">
        <f>IF(AP$603,35.29,NA())</f>
        <v>#N/A</v>
      </c>
      <c r="AQ611" s="82" t="e">
        <f>IF(AQ$603,30.56,NA())</f>
        <v>#N/A</v>
      </c>
      <c r="AR611" s="82" t="e">
        <f>IF(AR$603,19.11,NA())</f>
        <v>#N/A</v>
      </c>
      <c r="AS611" s="82" t="e">
        <f>IF(AS$603,48.12,NA())</f>
        <v>#N/A</v>
      </c>
      <c r="AT611" s="82" t="e">
        <f>IF(AT$603,38.88,NA())</f>
        <v>#N/A</v>
      </c>
      <c r="AU611" s="82" t="e">
        <f>IF(AU$603,13.37,NA())</f>
        <v>#N/A</v>
      </c>
      <c r="AV611" s="82" t="e">
        <f>IF(AV$603,12.77,NA())</f>
        <v>#N/A</v>
      </c>
      <c r="AW611" s="82" t="e">
        <f>IF(AW$603,29.94,NA())</f>
        <v>#N/A</v>
      </c>
      <c r="AX611" s="82" t="e">
        <f>IF(AX$603,16.15,NA())</f>
        <v>#N/A</v>
      </c>
      <c r="AY611" s="82" t="e">
        <f>IF(AY$603,35.02,NA())</f>
        <v>#N/A</v>
      </c>
    </row>
    <row r="612" spans="1:51" x14ac:dyDescent="0.3">
      <c r="A612" s="93" t="s">
        <v>86</v>
      </c>
      <c r="B612" s="31" t="e">
        <f>IF(B$603,124.06,NA())</f>
        <v>#VALUE!</v>
      </c>
      <c r="C612" s="31" t="e">
        <f>IF(C$603,38.67,NA())</f>
        <v>#VALUE!</v>
      </c>
      <c r="D612" s="31">
        <f>IF(D$603,107.62,NA())</f>
        <v>107.62</v>
      </c>
      <c r="E612" s="31" t="e">
        <f>IF(E$603,22.1,NA())</f>
        <v>#N/A</v>
      </c>
      <c r="F612" s="31" t="e">
        <f>IF(F$603,25.44,NA())</f>
        <v>#N/A</v>
      </c>
      <c r="G612" s="31">
        <f>IF(G$603,16.37,NA())</f>
        <v>16.37</v>
      </c>
      <c r="H612" s="31" t="e">
        <f>IF(H$603,62.72,NA())</f>
        <v>#N/A</v>
      </c>
      <c r="I612" s="107"/>
      <c r="J612" s="107"/>
      <c r="K612" s="107"/>
      <c r="L612" s="107"/>
      <c r="M612" s="107"/>
      <c r="N612" s="107"/>
      <c r="O612" s="107"/>
      <c r="P612" s="107"/>
      <c r="Q612" s="107"/>
      <c r="R612" s="107"/>
      <c r="S612" s="107"/>
      <c r="T612" s="107"/>
      <c r="U612" s="107"/>
      <c r="V612" s="107"/>
      <c r="W612" s="107"/>
      <c r="X612" s="107"/>
      <c r="Y612" s="107"/>
      <c r="Z612" s="107"/>
      <c r="AA612" s="107"/>
      <c r="AB612" s="107"/>
      <c r="AC612" s="107"/>
      <c r="AD612" s="98">
        <v>17</v>
      </c>
      <c r="AE612" s="98">
        <v>12</v>
      </c>
      <c r="AF612" s="111"/>
      <c r="AG612" s="111"/>
      <c r="AH612" s="82" t="e">
        <f>IF(AH$603,24.18,NA())</f>
        <v>#N/A</v>
      </c>
      <c r="AI612" s="82" t="e">
        <f>IF(AI$603,19.59,NA())</f>
        <v>#N/A</v>
      </c>
      <c r="AJ612" s="82" t="e">
        <f>IF(AJ$603,54.78,NA())</f>
        <v>#N/A</v>
      </c>
      <c r="AK612" s="82" t="e">
        <f>IF(AK$603,53.31,NA())</f>
        <v>#N/A</v>
      </c>
      <c r="AL612" s="82" t="e">
        <f>IF(AL$603,13.54,NA())</f>
        <v>#N/A</v>
      </c>
      <c r="AM612" s="82" t="e">
        <f>IF(AM$603,25.49,NA())</f>
        <v>#N/A</v>
      </c>
      <c r="AN612" s="82" t="e">
        <f>IF(AN$603,53.41,NA())</f>
        <v>#N/A</v>
      </c>
      <c r="AO612" s="82" t="e">
        <f>IF(AO$603,32.59,NA())</f>
        <v>#N/A</v>
      </c>
      <c r="AP612" s="82" t="e">
        <f>IF(AP$603,34.77,NA())</f>
        <v>#N/A</v>
      </c>
      <c r="AQ612" s="82" t="e">
        <f>IF(AQ$603,30.36,NA())</f>
        <v>#N/A</v>
      </c>
      <c r="AR612" s="82" t="e">
        <f>IF(AR$603,19.67,NA())</f>
        <v>#N/A</v>
      </c>
      <c r="AS612" s="82" t="e">
        <f>IF(AS$603,48.8,NA())</f>
        <v>#N/A</v>
      </c>
      <c r="AT612" s="82" t="e">
        <f>IF(AT$603,41.18,NA())</f>
        <v>#N/A</v>
      </c>
      <c r="AU612" s="82" t="e">
        <f>IF(AU$603,13.37,NA())</f>
        <v>#N/A</v>
      </c>
      <c r="AV612" s="82" t="e">
        <f>IF(AV$603,12.77,NA())</f>
        <v>#N/A</v>
      </c>
      <c r="AW612" s="82" t="e">
        <f>IF(AW$603,30.94,NA())</f>
        <v>#N/A</v>
      </c>
      <c r="AX612" s="82" t="e">
        <f>IF(AX$603,17,NA())</f>
        <v>#N/A</v>
      </c>
      <c r="AY612" s="82" t="e">
        <f>IF(AY$603,36.83,NA())</f>
        <v>#N/A</v>
      </c>
    </row>
    <row r="613" spans="1:51" x14ac:dyDescent="0.3">
      <c r="A613" s="93" t="s">
        <v>87</v>
      </c>
      <c r="B613" s="31" t="e">
        <f>IF(B$603,126.7,NA())</f>
        <v>#VALUE!</v>
      </c>
      <c r="C613" s="31" t="e">
        <f>IF(C$603,38.67,NA())</f>
        <v>#VALUE!</v>
      </c>
      <c r="D613" s="31">
        <f>IF(D$603,108.33,NA())</f>
        <v>108.33</v>
      </c>
      <c r="E613" s="31" t="e">
        <f>IF(E$603,24.17,NA())</f>
        <v>#N/A</v>
      </c>
      <c r="F613" s="31" t="e">
        <f>IF(F$603,28.32,NA())</f>
        <v>#N/A</v>
      </c>
      <c r="G613" s="31">
        <f>IF(G$603,16.55,NA())</f>
        <v>16.55</v>
      </c>
      <c r="H613" s="31" t="e">
        <f>IF(H$603,66.7,NA())</f>
        <v>#N/A</v>
      </c>
      <c r="I613" s="97">
        <v>14.1</v>
      </c>
      <c r="J613" s="97">
        <v>14.7</v>
      </c>
      <c r="K613" s="98">
        <v>10</v>
      </c>
      <c r="L613" s="98">
        <v>13</v>
      </c>
      <c r="M613" s="98">
        <v>10</v>
      </c>
      <c r="N613" s="98">
        <v>18</v>
      </c>
      <c r="O613" s="98">
        <v>22</v>
      </c>
      <c r="P613" s="98">
        <v>24</v>
      </c>
      <c r="Q613" s="98">
        <v>25</v>
      </c>
      <c r="R613" s="98">
        <v>24</v>
      </c>
      <c r="S613" s="98">
        <v>20</v>
      </c>
      <c r="T613" s="98">
        <v>19</v>
      </c>
      <c r="U613" s="98">
        <v>21</v>
      </c>
      <c r="V613" s="98">
        <v>20</v>
      </c>
      <c r="W613" s="98">
        <v>23</v>
      </c>
      <c r="X613" s="98">
        <v>26</v>
      </c>
      <c r="Y613" s="98">
        <v>26</v>
      </c>
      <c r="Z613" s="98">
        <v>26</v>
      </c>
      <c r="AA613" s="98">
        <v>28</v>
      </c>
      <c r="AB613" s="98">
        <v>23</v>
      </c>
      <c r="AC613" s="98">
        <v>19</v>
      </c>
      <c r="AD613" s="98">
        <v>19</v>
      </c>
      <c r="AE613" s="98">
        <v>15</v>
      </c>
      <c r="AF613" s="98">
        <v>10</v>
      </c>
      <c r="AG613" s="111"/>
      <c r="AH613" s="82" t="e">
        <f>IF(AH$603,22.64,NA())</f>
        <v>#N/A</v>
      </c>
      <c r="AI613" s="82" t="e">
        <f>IF(AI$603,18.83,NA())</f>
        <v>#N/A</v>
      </c>
      <c r="AJ613" s="82" t="e">
        <f>IF(AJ$603,57.35,NA())</f>
        <v>#N/A</v>
      </c>
      <c r="AK613" s="82" t="e">
        <f>IF(AK$603,54.61,NA())</f>
        <v>#N/A</v>
      </c>
      <c r="AL613" s="82" t="e">
        <f>IF(AL$603,14.2,NA())</f>
        <v>#N/A</v>
      </c>
      <c r="AM613" s="82" t="e">
        <f>IF(AM$603,24.11,NA())</f>
        <v>#N/A</v>
      </c>
      <c r="AN613" s="82" t="e">
        <f>IF(AN$603,55.42,NA())</f>
        <v>#N/A</v>
      </c>
      <c r="AO613" s="82" t="e">
        <f>IF(AO$603,34.81,NA())</f>
        <v>#N/A</v>
      </c>
      <c r="AP613" s="82" t="e">
        <f>IF(AP$603,35.29,NA())</f>
        <v>#N/A</v>
      </c>
      <c r="AQ613" s="82" t="e">
        <f>IF(AQ$603,28.39,NA())</f>
        <v>#N/A</v>
      </c>
      <c r="AR613" s="82" t="e">
        <f>IF(AR$603,21.92,NA())</f>
        <v>#N/A</v>
      </c>
      <c r="AS613" s="82" t="e">
        <f>IF(AS$603,48.8,NA())</f>
        <v>#N/A</v>
      </c>
      <c r="AT613" s="82" t="e">
        <f>IF(AT$603,42.06,NA())</f>
        <v>#N/A</v>
      </c>
      <c r="AU613" s="82" t="e">
        <f>IF(AU$603,12.41,NA())</f>
        <v>#N/A</v>
      </c>
      <c r="AV613" s="82" t="e">
        <f>IF(AV$603,11.92,NA())</f>
        <v>#N/A</v>
      </c>
      <c r="AW613" s="82" t="e">
        <f>IF(AW$603,34.94,NA())</f>
        <v>#N/A</v>
      </c>
      <c r="AX613" s="82" t="e">
        <f>IF(AX$603,14.45,NA())</f>
        <v>#N/A</v>
      </c>
      <c r="AY613" s="82" t="e">
        <f>IF(AY$603,38.34,NA())</f>
        <v>#N/A</v>
      </c>
    </row>
    <row r="614" spans="1:51" x14ac:dyDescent="0.3">
      <c r="A614" s="93" t="s">
        <v>88</v>
      </c>
      <c r="B614" s="31" t="e">
        <f>IF(B$603,131.45,NA())</f>
        <v>#VALUE!</v>
      </c>
      <c r="C614" s="31" t="e">
        <f>IF(C$603,37.4,NA())</f>
        <v>#VALUE!</v>
      </c>
      <c r="D614" s="31">
        <f>IF(D$603,105.83,NA())</f>
        <v>105.83</v>
      </c>
      <c r="E614" s="31" t="e">
        <f>IF(E$603,26.24,NA())</f>
        <v>#N/A</v>
      </c>
      <c r="F614" s="31" t="e">
        <f>IF(F$603,32.64,NA())</f>
        <v>#N/A</v>
      </c>
      <c r="G614" s="31">
        <f>IF(G$603,16.91,NA())</f>
        <v>16.91</v>
      </c>
      <c r="H614" s="31" t="e">
        <f>IF(H$603,68.4,NA())</f>
        <v>#N/A</v>
      </c>
      <c r="I614" s="97">
        <v>12.4</v>
      </c>
      <c r="J614" s="97">
        <v>13</v>
      </c>
      <c r="K614" s="98">
        <v>17</v>
      </c>
      <c r="L614" s="98">
        <v>18</v>
      </c>
      <c r="M614" s="98">
        <v>20</v>
      </c>
      <c r="N614" s="98">
        <v>21</v>
      </c>
      <c r="O614" s="98">
        <v>18</v>
      </c>
      <c r="P614" s="98">
        <v>18</v>
      </c>
      <c r="Q614" s="98">
        <v>14</v>
      </c>
      <c r="R614" s="98">
        <v>19</v>
      </c>
      <c r="S614" s="98">
        <v>25</v>
      </c>
      <c r="T614" s="98">
        <v>29</v>
      </c>
      <c r="U614" s="98">
        <v>32</v>
      </c>
      <c r="V614" s="98">
        <v>29</v>
      </c>
      <c r="W614" s="98">
        <v>25</v>
      </c>
      <c r="X614" s="98">
        <v>22</v>
      </c>
      <c r="Y614" s="98">
        <v>25</v>
      </c>
      <c r="Z614" s="98">
        <v>23</v>
      </c>
      <c r="AA614" s="98">
        <v>24</v>
      </c>
      <c r="AB614" s="98">
        <v>21</v>
      </c>
      <c r="AC614" s="98">
        <v>16</v>
      </c>
      <c r="AD614" s="98">
        <v>16</v>
      </c>
      <c r="AE614" s="111"/>
      <c r="AF614" s="111"/>
      <c r="AG614" s="111"/>
      <c r="AH614" s="82" t="e">
        <f>IF(AH$603,25.21,NA())</f>
        <v>#N/A</v>
      </c>
      <c r="AI614" s="82" t="e">
        <f>IF(AI$603,20.34,NA())</f>
        <v>#N/A</v>
      </c>
      <c r="AJ614" s="82" t="e">
        <f>IF(AJ$603,57.35,NA())</f>
        <v>#N/A</v>
      </c>
      <c r="AK614" s="82" t="e">
        <f>IF(AK$603,54.83,NA())</f>
        <v>#N/A</v>
      </c>
      <c r="AL614" s="82" t="e">
        <f>IF(AL$603,12.88,NA())</f>
        <v>#N/A</v>
      </c>
      <c r="AM614" s="82" t="e">
        <f>IF(AM$603,26.18,NA())</f>
        <v>#N/A</v>
      </c>
      <c r="AN614" s="82" t="e">
        <f>IF(AN$603,58.7,NA())</f>
        <v>#N/A</v>
      </c>
      <c r="AO614" s="82" t="e">
        <f>IF(AO$603,36.2,NA())</f>
        <v>#N/A</v>
      </c>
      <c r="AP614" s="82" t="e">
        <f>IF(AP$603,35.29,NA())</f>
        <v>#N/A</v>
      </c>
      <c r="AQ614" s="82" t="e">
        <f>IF(AQ$603,29.37,NA())</f>
        <v>#N/A</v>
      </c>
      <c r="AR614" s="82" t="e">
        <f>IF(AR$603,24.17,NA())</f>
        <v>#N/A</v>
      </c>
      <c r="AS614" s="82" t="e">
        <f>IF(AS$603,48.8,NA())</f>
        <v>#N/A</v>
      </c>
      <c r="AT614" s="82" t="e">
        <f>IF(AT$603,43.27,NA())</f>
        <v>#N/A</v>
      </c>
      <c r="AU614" s="82" t="e">
        <f>IF(AU$603,14.32,NA())</f>
        <v>#N/A</v>
      </c>
      <c r="AV614" s="82" t="e">
        <f>IF(AV$603,13.62,NA())</f>
        <v>#N/A</v>
      </c>
      <c r="AW614" s="82" t="e">
        <f>IF(AW$603,44.92,NA())</f>
        <v>#N/A</v>
      </c>
      <c r="AX614" s="82" t="e">
        <f>IF(AX$603,15.3,NA())</f>
        <v>#N/A</v>
      </c>
      <c r="AY614" s="82" t="e">
        <f>IF(AY$603,38.34,NA())</f>
        <v>#N/A</v>
      </c>
    </row>
    <row r="615" spans="1:51" x14ac:dyDescent="0.3">
      <c r="A615" s="93" t="s">
        <v>89</v>
      </c>
      <c r="B615" s="31" t="e">
        <f>IF(B$603,137.08,NA())</f>
        <v>#VALUE!</v>
      </c>
      <c r="C615" s="31" t="e">
        <f>IF(C$603,36.76,NA())</f>
        <v>#VALUE!</v>
      </c>
      <c r="D615" s="31">
        <f>IF(D$603,102.97,NA())</f>
        <v>102.97</v>
      </c>
      <c r="E615" s="31" t="e">
        <f>IF(E$603,27.28,NA())</f>
        <v>#N/A</v>
      </c>
      <c r="F615" s="31" t="e">
        <f>IF(F$603,32.64,NA())</f>
        <v>#N/A</v>
      </c>
      <c r="G615" s="31">
        <f>IF(G$603,16.55,NA())</f>
        <v>16.55</v>
      </c>
      <c r="H615" s="31" t="e">
        <f>IF(H$603,68.28,NA())</f>
        <v>#N/A</v>
      </c>
      <c r="I615" s="97">
        <v>16.100000000000001</v>
      </c>
      <c r="J615" s="97">
        <v>16.8</v>
      </c>
      <c r="K615" s="107"/>
      <c r="L615" s="107"/>
      <c r="M615" s="98">
        <v>12</v>
      </c>
      <c r="N615" s="107"/>
      <c r="O615" s="107"/>
      <c r="P615" s="98">
        <v>12</v>
      </c>
      <c r="Q615" s="98">
        <v>12</v>
      </c>
      <c r="R615" s="98">
        <v>18</v>
      </c>
      <c r="S615" s="98">
        <v>25</v>
      </c>
      <c r="T615" s="98">
        <v>24</v>
      </c>
      <c r="U615" s="98">
        <v>23</v>
      </c>
      <c r="V615" s="98">
        <v>24</v>
      </c>
      <c r="W615" s="98">
        <v>22</v>
      </c>
      <c r="X615" s="98">
        <v>24</v>
      </c>
      <c r="Y615" s="98">
        <v>25</v>
      </c>
      <c r="Z615" s="98">
        <v>21</v>
      </c>
      <c r="AA615" s="98">
        <v>22</v>
      </c>
      <c r="AB615" s="98">
        <v>19</v>
      </c>
      <c r="AC615" s="98">
        <v>21</v>
      </c>
      <c r="AD615" s="98">
        <v>22</v>
      </c>
      <c r="AE615" s="98">
        <v>19</v>
      </c>
      <c r="AF615" s="111"/>
      <c r="AG615" s="111"/>
      <c r="AH615" s="82" t="e">
        <f>IF(AH$603,29.84,NA())</f>
        <v>#N/A</v>
      </c>
      <c r="AI615" s="82" t="e">
        <f>IF(AI$603,24.86,NA())</f>
        <v>#N/A</v>
      </c>
      <c r="AJ615" s="82" t="e">
        <f>IF(AJ$603,60.35,NA())</f>
        <v>#N/A</v>
      </c>
      <c r="AK615" s="82" t="e">
        <f>IF(AK$603,55.26,NA())</f>
        <v>#N/A</v>
      </c>
      <c r="AL615" s="82" t="e">
        <f>IF(AL$603,13.54,NA())</f>
        <v>#N/A</v>
      </c>
      <c r="AM615" s="82" t="e">
        <f>IF(AM$603,29.62,NA())</f>
        <v>#N/A</v>
      </c>
      <c r="AN615" s="82" t="e">
        <f>IF(AN$603,60.46,NA())</f>
        <v>#N/A</v>
      </c>
      <c r="AO615" s="82" t="e">
        <f>IF(AO$603,37.68,NA())</f>
        <v>#N/A</v>
      </c>
      <c r="AP615" s="82" t="e">
        <f>IF(AP$603,33.73,NA())</f>
        <v>#N/A</v>
      </c>
      <c r="AQ615" s="82" t="e">
        <f>IF(AQ$603,28.78,NA())</f>
        <v>#N/A</v>
      </c>
      <c r="AR615" s="82" t="e">
        <f>IF(AR$603,23.6,NA())</f>
        <v>#N/A</v>
      </c>
      <c r="AS615" s="82" t="e">
        <f>IF(AS$603,48.12,NA())</f>
        <v>#N/A</v>
      </c>
      <c r="AT615" s="82" t="e">
        <f>IF(AT$603,44.26,NA())</f>
        <v>#N/A</v>
      </c>
      <c r="AU615" s="82" t="e">
        <f>IF(AU$603,13.37,NA())</f>
        <v>#N/A</v>
      </c>
      <c r="AV615" s="82" t="e">
        <f>IF(AV$603,14.05,NA())</f>
        <v>#N/A</v>
      </c>
      <c r="AW615" s="82" t="e">
        <f>IF(AW$603,46.91,NA())</f>
        <v>#N/A</v>
      </c>
      <c r="AX615" s="82" t="e">
        <f>IF(AX$603,17.86,NA())</f>
        <v>#N/A</v>
      </c>
      <c r="AY615" s="82" t="e">
        <f>IF(AY$603,40.45,NA())</f>
        <v>#N/A</v>
      </c>
    </row>
    <row r="616" spans="1:51" x14ac:dyDescent="0.3">
      <c r="A616" s="93" t="s">
        <v>90</v>
      </c>
      <c r="B616" s="31" t="e">
        <f>IF(B$603,142.89,NA())</f>
        <v>#VALUE!</v>
      </c>
      <c r="C616" s="31" t="e">
        <f>IF(C$603,38.67,NA())</f>
        <v>#VALUE!</v>
      </c>
      <c r="D616" s="31">
        <f>IF(D$603,105.47,NA())</f>
        <v>105.47</v>
      </c>
      <c r="E616" s="31" t="e">
        <f>IF(E$603,26.93,NA())</f>
        <v>#N/A</v>
      </c>
      <c r="F616" s="31" t="e">
        <f>IF(F$603,33.12,NA())</f>
        <v>#N/A</v>
      </c>
      <c r="G616" s="31">
        <f>IF(G$603,17.09,NA())</f>
        <v>17.09</v>
      </c>
      <c r="H616" s="31" t="e">
        <f>IF(H$603,69.61,NA())</f>
        <v>#N/A</v>
      </c>
      <c r="I616" s="97">
        <v>8.3000000000000007</v>
      </c>
      <c r="J616" s="97">
        <v>8.6</v>
      </c>
      <c r="K616" s="98">
        <v>14</v>
      </c>
      <c r="L616" s="98">
        <v>18</v>
      </c>
      <c r="M616" s="98">
        <v>21</v>
      </c>
      <c r="N616" s="98">
        <v>18</v>
      </c>
      <c r="O616" s="98">
        <v>20</v>
      </c>
      <c r="P616" s="98">
        <v>16</v>
      </c>
      <c r="Q616" s="98">
        <v>18</v>
      </c>
      <c r="R616" s="98">
        <v>21</v>
      </c>
      <c r="S616" s="98">
        <v>20</v>
      </c>
      <c r="T616" s="98">
        <v>24</v>
      </c>
      <c r="U616" s="98">
        <v>19</v>
      </c>
      <c r="V616" s="98">
        <v>21</v>
      </c>
      <c r="W616" s="98">
        <v>25</v>
      </c>
      <c r="X616" s="98">
        <v>24</v>
      </c>
      <c r="Y616" s="98">
        <v>24</v>
      </c>
      <c r="Z616" s="98">
        <v>21</v>
      </c>
      <c r="AA616" s="98">
        <v>15</v>
      </c>
      <c r="AB616" s="98">
        <v>13</v>
      </c>
      <c r="AC616" s="98">
        <v>18</v>
      </c>
      <c r="AD616" s="98">
        <v>216</v>
      </c>
      <c r="AE616" s="98">
        <v>213</v>
      </c>
      <c r="AF616" s="111"/>
      <c r="AG616" s="111"/>
      <c r="AH616" s="82" t="e">
        <f>IF(AH$603,28.3,NA())</f>
        <v>#N/A</v>
      </c>
      <c r="AI616" s="82" t="e">
        <f>IF(AI$603,26.37,NA())</f>
        <v>#N/A</v>
      </c>
      <c r="AJ616" s="82" t="e">
        <f>IF(AJ$603,61.63,NA())</f>
        <v>#N/A</v>
      </c>
      <c r="AK616" s="82" t="e">
        <f>IF(AK$603,54.5,NA())</f>
        <v>#N/A</v>
      </c>
      <c r="AL616" s="82" t="e">
        <f>IF(AL$603,15.52,NA())</f>
        <v>#N/A</v>
      </c>
      <c r="AM616" s="82" t="e">
        <f>IF(AM$603,29.62,NA())</f>
        <v>#N/A</v>
      </c>
      <c r="AN616" s="82" t="e">
        <f>IF(AN$603,62.48,NA())</f>
        <v>#N/A</v>
      </c>
      <c r="AO616" s="82" t="e">
        <f>IF(AO$603,37.31,NA())</f>
        <v>#N/A</v>
      </c>
      <c r="AP616" s="82" t="e">
        <f>IF(AP$603,34.25,NA())</f>
        <v>#N/A</v>
      </c>
      <c r="AQ616" s="82" t="e">
        <f>IF(AQ$603,30.36,NA())</f>
        <v>#N/A</v>
      </c>
      <c r="AR616" s="82" t="e">
        <f>IF(AR$603,24.17,NA())</f>
        <v>#N/A</v>
      </c>
      <c r="AS616" s="82" t="e">
        <f>IF(AS$603,47.44,NA())</f>
        <v>#N/A</v>
      </c>
      <c r="AT616" s="82" t="e">
        <f>IF(AT$603,46.9,NA())</f>
        <v>#N/A</v>
      </c>
      <c r="AU616" s="82" t="e">
        <f>IF(AU$603,14.32,NA())</f>
        <v>#N/A</v>
      </c>
      <c r="AV616" s="82" t="e">
        <f>IF(AV$603,14.47,NA())</f>
        <v>#N/A</v>
      </c>
      <c r="AW616" s="82" t="e">
        <f>IF(AW$603,46.91,NA())</f>
        <v>#N/A</v>
      </c>
      <c r="AX616" s="82" t="e">
        <f>IF(AX$603,17.86,NA())</f>
        <v>#N/A</v>
      </c>
      <c r="AY616" s="82" t="e">
        <f>IF(AY$603,39.85,NA())</f>
        <v>#N/A</v>
      </c>
    </row>
    <row r="617" spans="1:51" x14ac:dyDescent="0.3">
      <c r="A617" s="93" t="s">
        <v>91</v>
      </c>
      <c r="B617" s="31" t="e">
        <f>IF(B$603,143.42,NA())</f>
        <v>#VALUE!</v>
      </c>
      <c r="C617" s="31" t="e">
        <f>IF(C$603,38.67,NA())</f>
        <v>#VALUE!</v>
      </c>
      <c r="D617" s="31">
        <f>IF(D$603,107.97,NA())</f>
        <v>107.97</v>
      </c>
      <c r="E617" s="31" t="e">
        <f>IF(E$603,29.01,NA())</f>
        <v>#N/A</v>
      </c>
      <c r="F617" s="31" t="e">
        <f>IF(F$603,33.12,NA())</f>
        <v>#N/A</v>
      </c>
      <c r="G617" s="31">
        <f>IF(G$603,17.81,NA())</f>
        <v>17.809999999999999</v>
      </c>
      <c r="H617" s="31" t="e">
        <f>IF(H$603,68.15,NA())</f>
        <v>#N/A</v>
      </c>
      <c r="I617" s="97">
        <v>16.5</v>
      </c>
      <c r="J617" s="97">
        <v>17.2</v>
      </c>
      <c r="K617" s="98">
        <v>22</v>
      </c>
      <c r="L617" s="98">
        <v>23</v>
      </c>
      <c r="M617" s="98">
        <v>25</v>
      </c>
      <c r="N617" s="98">
        <v>26</v>
      </c>
      <c r="O617" s="98">
        <v>31</v>
      </c>
      <c r="P617" s="98">
        <v>29</v>
      </c>
      <c r="Q617" s="98">
        <v>29</v>
      </c>
      <c r="R617" s="98">
        <v>32</v>
      </c>
      <c r="S617" s="98">
        <v>33</v>
      </c>
      <c r="T617" s="98">
        <v>41</v>
      </c>
      <c r="U617" s="98">
        <v>40</v>
      </c>
      <c r="V617" s="98">
        <v>35</v>
      </c>
      <c r="W617" s="98">
        <v>28</v>
      </c>
      <c r="X617" s="98">
        <v>18</v>
      </c>
      <c r="Y617" s="98">
        <v>19</v>
      </c>
      <c r="Z617" s="98">
        <v>18</v>
      </c>
      <c r="AA617" s="98">
        <v>17</v>
      </c>
      <c r="AB617" s="98">
        <v>17</v>
      </c>
      <c r="AC617" s="98">
        <v>14</v>
      </c>
      <c r="AD617" s="98">
        <v>10</v>
      </c>
      <c r="AE617" s="111"/>
      <c r="AF617" s="98">
        <v>10</v>
      </c>
      <c r="AG617" s="111"/>
      <c r="AH617" s="82" t="e">
        <f>IF(AH$603,29.33,NA())</f>
        <v>#N/A</v>
      </c>
      <c r="AI617" s="82" t="e">
        <f>IF(AI$603,27.87,NA())</f>
        <v>#N/A</v>
      </c>
      <c r="AJ617" s="82" t="e">
        <f>IF(AJ$603,62.49,NA())</f>
        <v>#N/A</v>
      </c>
      <c r="AK617" s="82" t="e">
        <f>IF(AK$603,53.96,NA())</f>
        <v>#N/A</v>
      </c>
      <c r="AL617" s="82" t="e">
        <f>IF(AL$603,15.52,NA())</f>
        <v>#N/A</v>
      </c>
      <c r="AM617" s="82" t="e">
        <f>IF(AM$603,28.93,NA())</f>
        <v>#N/A</v>
      </c>
      <c r="AN617" s="82" t="e">
        <f>IF(AN$603,65.38,NA())</f>
        <v>#N/A</v>
      </c>
      <c r="AO617" s="82" t="e">
        <f>IF(AO$603,38.14,NA())</f>
        <v>#N/A</v>
      </c>
      <c r="AP617" s="82" t="e">
        <f>IF(AP$603,34.77,NA())</f>
        <v>#N/A</v>
      </c>
      <c r="AQ617" s="82" t="e">
        <f>IF(AQ$603,30.16,NA())</f>
        <v>#N/A</v>
      </c>
      <c r="AR617" s="82" t="e">
        <f>IF(AR$603,23.6,NA())</f>
        <v>#N/A</v>
      </c>
      <c r="AS617" s="82" t="e">
        <f>IF(AS$603,46.08,NA())</f>
        <v>#N/A</v>
      </c>
      <c r="AT617" s="82" t="e">
        <f>IF(AT$603,47.99,NA())</f>
        <v>#N/A</v>
      </c>
      <c r="AU617" s="82" t="e">
        <f>IF(AU$603,14.32,NA())</f>
        <v>#N/A</v>
      </c>
      <c r="AV617" s="82" t="e">
        <f>IF(AV$603,14.47,NA())</f>
        <v>#N/A</v>
      </c>
      <c r="AW617" s="82" t="e">
        <f>IF(AW$603,49.91,NA())</f>
        <v>#N/A</v>
      </c>
      <c r="AX617" s="82" t="e">
        <f>IF(AX$603,19.56,NA())</f>
        <v>#N/A</v>
      </c>
      <c r="AY617" s="82" t="e">
        <f>IF(AY$603,42.86,NA())</f>
        <v>#N/A</v>
      </c>
    </row>
    <row r="618" spans="1:51" x14ac:dyDescent="0.3">
      <c r="A618" s="93" t="s">
        <v>92</v>
      </c>
      <c r="B618" s="31" t="e">
        <f>IF(B$603,146.41,NA())</f>
        <v>#VALUE!</v>
      </c>
      <c r="C618" s="31" t="e">
        <f>IF(C$603,36.13,NA())</f>
        <v>#VALUE!</v>
      </c>
      <c r="D618" s="31">
        <f>IF(D$603,106.54,NA())</f>
        <v>106.54</v>
      </c>
      <c r="E618" s="31" t="e">
        <f>IF(E$603,30.73,NA())</f>
        <v>#N/A</v>
      </c>
      <c r="F618" s="31" t="e">
        <f>IF(F$603,33.6,NA())</f>
        <v>#N/A</v>
      </c>
      <c r="G618" s="31">
        <f>IF(G$603,18.53,NA())</f>
        <v>18.53</v>
      </c>
      <c r="H618" s="31" t="e">
        <f>IF(H$603,66.1,NA())</f>
        <v>#N/A</v>
      </c>
      <c r="I618" s="107"/>
      <c r="J618" s="107"/>
      <c r="K618" s="107"/>
      <c r="L618" s="107"/>
      <c r="M618" s="107"/>
      <c r="N618" s="107"/>
      <c r="O618" s="107"/>
      <c r="P618" s="107"/>
      <c r="Q618" s="107"/>
      <c r="R618" s="107"/>
      <c r="S618" s="107"/>
      <c r="T618" s="107"/>
      <c r="U618" s="107"/>
      <c r="V618" s="107"/>
      <c r="W618" s="107"/>
      <c r="X618" s="107"/>
      <c r="Y618" s="107"/>
      <c r="Z618" s="107"/>
      <c r="AA618" s="107"/>
      <c r="AB618" s="107"/>
      <c r="AC618" s="107"/>
      <c r="AD618" s="98">
        <v>16</v>
      </c>
      <c r="AE618" s="98">
        <v>10</v>
      </c>
      <c r="AF618" s="111"/>
      <c r="AG618" s="111"/>
      <c r="AH618" s="82" t="e">
        <f>IF(AH$603,28.3,NA())</f>
        <v>#N/A</v>
      </c>
      <c r="AI618" s="82" t="e">
        <f>IF(AI$603,30.89,NA())</f>
        <v>#N/A</v>
      </c>
      <c r="AJ618" s="82" t="e">
        <f>IF(AJ$603,61.63,NA())</f>
        <v>#N/A</v>
      </c>
      <c r="AK618" s="82" t="e">
        <f>IF(AK$603,54.83,NA())</f>
        <v>#N/A</v>
      </c>
      <c r="AL618" s="82" t="e">
        <f>IF(AL$603,16.51,NA())</f>
        <v>#N/A</v>
      </c>
      <c r="AM618" s="82" t="e">
        <f>IF(AM$603,28.93,NA())</f>
        <v>#N/A</v>
      </c>
      <c r="AN618" s="82" t="e">
        <f>IF(AN$603,66.63,NA())</f>
        <v>#N/A</v>
      </c>
      <c r="AO618" s="82" t="e">
        <f>IF(AO$603,38.24,NA())</f>
        <v>#N/A</v>
      </c>
      <c r="AP618" s="82" t="e">
        <f>IF(AP$603,34.25,NA())</f>
        <v>#N/A</v>
      </c>
      <c r="AQ618" s="82" t="e">
        <f>IF(AQ$603,30.95,NA())</f>
        <v>#N/A</v>
      </c>
      <c r="AR618" s="82" t="e">
        <f>IF(AR$603,24.73,NA())</f>
        <v>#N/A</v>
      </c>
      <c r="AS618" s="82" t="e">
        <f>IF(AS$603,43.87,NA())</f>
        <v>#N/A</v>
      </c>
      <c r="AT618" s="82" t="e">
        <f>IF(AT$603,49.75,NA())</f>
        <v>#N/A</v>
      </c>
      <c r="AU618" s="82" t="e">
        <f>IF(AU$603,17.19,NA())</f>
        <v>#N/A</v>
      </c>
      <c r="AV618" s="82" t="e">
        <f>IF(AV$603,15.32,NA())</f>
        <v>#N/A</v>
      </c>
      <c r="AW618" s="82" t="e">
        <f>IF(AW$603,50.91,NA())</f>
        <v>#N/A</v>
      </c>
      <c r="AX618" s="82" t="e">
        <f>IF(AX$603,19.56,NA())</f>
        <v>#N/A</v>
      </c>
      <c r="AY618" s="82" t="e">
        <f>IF(AY$603,43.47,NA())</f>
        <v>#N/A</v>
      </c>
    </row>
    <row r="619" spans="1:51" x14ac:dyDescent="0.3">
      <c r="A619" s="93" t="s">
        <v>93</v>
      </c>
      <c r="B619" s="31" t="e">
        <f>IF(B$603,150.46,NA())</f>
        <v>#VALUE!</v>
      </c>
      <c r="C619" s="31" t="e">
        <f>IF(C$603,38.03,NA())</f>
        <v>#VALUE!</v>
      </c>
      <c r="D619" s="31">
        <f>IF(D$603,104.76,NA())</f>
        <v>104.76</v>
      </c>
      <c r="E619" s="31" t="e">
        <f>IF(E$603,30.73,NA())</f>
        <v>#N/A</v>
      </c>
      <c r="F619" s="31" t="e">
        <f>IF(F$603,37.92,NA())</f>
        <v>#N/A</v>
      </c>
      <c r="G619" s="31">
        <f>IF(G$603,17.63,NA())</f>
        <v>17.63</v>
      </c>
      <c r="H619" s="31" t="e">
        <f>IF(H$603,69,NA())</f>
        <v>#N/A</v>
      </c>
      <c r="I619" s="107"/>
      <c r="J619" s="107"/>
      <c r="K619" s="107"/>
      <c r="L619" s="107"/>
      <c r="M619" s="107"/>
      <c r="N619" s="107"/>
      <c r="O619" s="107"/>
      <c r="P619" s="107"/>
      <c r="Q619" s="107"/>
      <c r="R619" s="107"/>
      <c r="S619" s="107"/>
      <c r="T619" s="107"/>
      <c r="U619" s="107"/>
      <c r="V619" s="107"/>
      <c r="W619" s="107"/>
      <c r="X619" s="107"/>
      <c r="Y619" s="107"/>
      <c r="Z619" s="107"/>
      <c r="AA619" s="107"/>
      <c r="AB619" s="107"/>
      <c r="AC619" s="107"/>
      <c r="AD619" s="98">
        <v>18</v>
      </c>
      <c r="AE619" s="98">
        <v>14</v>
      </c>
      <c r="AF619" s="111"/>
      <c r="AG619" s="111"/>
      <c r="AH619" s="82" t="e">
        <f>IF(AH$603,28.3,NA())</f>
        <v>#N/A</v>
      </c>
      <c r="AI619" s="82" t="e">
        <f>IF(AI$603,30.89,NA())</f>
        <v>#N/A</v>
      </c>
      <c r="AJ619" s="82" t="e">
        <f>IF(AJ$603,66.77,NA())</f>
        <v>#N/A</v>
      </c>
      <c r="AK619" s="82" t="e">
        <f>IF(AK$603,55.26,NA())</f>
        <v>#N/A</v>
      </c>
      <c r="AL619" s="82" t="e">
        <f>IF(AL$603,17.17,NA())</f>
        <v>#N/A</v>
      </c>
      <c r="AM619" s="82" t="e">
        <f>IF(AM$603,26.87,NA())</f>
        <v>#N/A</v>
      </c>
      <c r="AN619" s="82" t="e">
        <f>IF(AN$603,69.28,NA())</f>
        <v>#N/A</v>
      </c>
      <c r="AO619" s="82" t="e">
        <f>IF(AO$603,39.07,NA())</f>
        <v>#N/A</v>
      </c>
      <c r="AP619" s="82" t="e">
        <f>IF(AP$603,38.92,NA())</f>
        <v>#N/A</v>
      </c>
      <c r="AQ619" s="82" t="e">
        <f>IF(AQ$603,30.75,NA())</f>
        <v>#N/A</v>
      </c>
      <c r="AR619" s="82" t="e">
        <f>IF(AR$603,22.48,NA())</f>
        <v>#N/A</v>
      </c>
      <c r="AS619" s="82" t="e">
        <f>IF(AS$603,44.89,NA())</f>
        <v>#N/A</v>
      </c>
      <c r="AT619" s="82" t="e">
        <f>IF(AT$603,51.73,NA())</f>
        <v>#N/A</v>
      </c>
      <c r="AU619" s="82" t="e">
        <f>IF(AU$603,20.05,NA())</f>
        <v>#N/A</v>
      </c>
      <c r="AV619" s="82" t="e">
        <f>IF(AV$603,17.45,NA())</f>
        <v>#N/A</v>
      </c>
      <c r="AW619" s="82" t="e">
        <f>IF(AW$603,55.9,NA())</f>
        <v>#N/A</v>
      </c>
      <c r="AX619" s="82" t="e">
        <f>IF(AX$603,19.56,NA())</f>
        <v>#N/A</v>
      </c>
      <c r="AY619" s="82" t="e">
        <f>IF(AY$603,44.37,NA())</f>
        <v>#N/A</v>
      </c>
    </row>
    <row r="620" spans="1:51" x14ac:dyDescent="0.3">
      <c r="A620" s="93" t="s">
        <v>94</v>
      </c>
      <c r="B620" s="31" t="e">
        <f>IF(B$603,153.8,NA())</f>
        <v>#VALUE!</v>
      </c>
      <c r="C620" s="31" t="e">
        <f>IF(C$603,39.93,NA())</f>
        <v>#VALUE!</v>
      </c>
      <c r="D620" s="31">
        <f>IF(D$603,105.47,NA())</f>
        <v>105.47</v>
      </c>
      <c r="E620" s="31" t="e">
        <f>IF(E$603,29.7,NA())</f>
        <v>#N/A</v>
      </c>
      <c r="F620" s="31" t="e">
        <f>IF(F$603,39.84,NA())</f>
        <v>#N/A</v>
      </c>
      <c r="G620" s="31">
        <f>IF(G$603,17.45,NA())</f>
        <v>17.45</v>
      </c>
      <c r="H620" s="31" t="e">
        <f>IF(H$603,70.81,NA())</f>
        <v>#N/A</v>
      </c>
      <c r="I620" s="97">
        <v>11.7</v>
      </c>
      <c r="J620" s="97">
        <v>12.2</v>
      </c>
      <c r="K620" s="107"/>
      <c r="L620" s="107"/>
      <c r="M620" s="98">
        <v>11</v>
      </c>
      <c r="N620" s="98">
        <v>18</v>
      </c>
      <c r="O620" s="98">
        <v>19</v>
      </c>
      <c r="P620" s="98">
        <v>23</v>
      </c>
      <c r="Q620" s="98">
        <v>27</v>
      </c>
      <c r="R620" s="98">
        <v>25</v>
      </c>
      <c r="S620" s="98">
        <v>28</v>
      </c>
      <c r="T620" s="98">
        <v>24</v>
      </c>
      <c r="U620" s="98">
        <v>24</v>
      </c>
      <c r="V620" s="98">
        <v>27</v>
      </c>
      <c r="W620" s="98">
        <v>21</v>
      </c>
      <c r="X620" s="98">
        <v>23</v>
      </c>
      <c r="Y620" s="98">
        <v>20</v>
      </c>
      <c r="Z620" s="98">
        <v>17</v>
      </c>
      <c r="AA620" s="98">
        <v>23</v>
      </c>
      <c r="AB620" s="98">
        <v>23</v>
      </c>
      <c r="AC620" s="98">
        <v>21</v>
      </c>
      <c r="AD620" s="98">
        <v>10</v>
      </c>
      <c r="AE620" s="98">
        <v>11</v>
      </c>
      <c r="AF620" s="98">
        <v>10</v>
      </c>
      <c r="AG620" s="111"/>
      <c r="AH620" s="82" t="e">
        <f>IF(AH$603,30.36,NA())</f>
        <v>#N/A</v>
      </c>
      <c r="AI620" s="82" t="e">
        <f>IF(AI$603,30.14,NA())</f>
        <v>#N/A</v>
      </c>
      <c r="AJ620" s="82" t="e">
        <f>IF(AJ$603,71.47,NA())</f>
        <v>#N/A</v>
      </c>
      <c r="AK620" s="82" t="e">
        <f>IF(AK$603,54.18,NA())</f>
        <v>#N/A</v>
      </c>
      <c r="AL620" s="82" t="e">
        <f>IF(AL$603,18.16,NA())</f>
        <v>#N/A</v>
      </c>
      <c r="AM620" s="82" t="e">
        <f>IF(AM$603,28.93,NA())</f>
        <v>#N/A</v>
      </c>
      <c r="AN620" s="82" t="e">
        <f>IF(AN$603,69.66,NA())</f>
        <v>#N/A</v>
      </c>
      <c r="AO620" s="82" t="e">
        <f>IF(AO$603,39.35,NA())</f>
        <v>#N/A</v>
      </c>
      <c r="AP620" s="82" t="e">
        <f>IF(AP$603,38.4,NA())</f>
        <v>#N/A</v>
      </c>
      <c r="AQ620" s="82" t="e">
        <f>IF(AQ$603,31.15,NA())</f>
        <v>#N/A</v>
      </c>
      <c r="AR620" s="82" t="e">
        <f>IF(AR$603,26.98,NA())</f>
        <v>#N/A</v>
      </c>
      <c r="AS620" s="82" t="e">
        <f>IF(AS$603,45.91,NA())</f>
        <v>#N/A</v>
      </c>
      <c r="AT620" s="82" t="e">
        <f>IF(AT$603,53.49,NA())</f>
        <v>#N/A</v>
      </c>
      <c r="AU620" s="82" t="e">
        <f>IF(AU$603,21.01,NA())</f>
        <v>#N/A</v>
      </c>
      <c r="AV620" s="82" t="e">
        <f>IF(AV$603,17.45,NA())</f>
        <v>#N/A</v>
      </c>
      <c r="AW620" s="82" t="e">
        <f>IF(AW$603,57.89,NA())</f>
        <v>#N/A</v>
      </c>
      <c r="AX620" s="82" t="e">
        <f>IF(AX$603,22.96,NA())</f>
        <v>#N/A</v>
      </c>
      <c r="AY620" s="82" t="e">
        <f>IF(AY$603,45.88,NA())</f>
        <v>#N/A</v>
      </c>
    </row>
    <row r="621" spans="1:51" x14ac:dyDescent="0.3">
      <c r="A621" s="93" t="s">
        <v>95</v>
      </c>
      <c r="B621" s="31" t="e">
        <f>IF(B$603,152.74,NA())</f>
        <v>#VALUE!</v>
      </c>
      <c r="C621" s="31" t="e">
        <f>IF(C$603,38.03,NA())</f>
        <v>#VALUE!</v>
      </c>
      <c r="D621" s="31">
        <f>IF(D$603,102.97,NA())</f>
        <v>102.97</v>
      </c>
      <c r="E621" s="31" t="e">
        <f>IF(E$603,33.49,NA())</f>
        <v>#N/A</v>
      </c>
      <c r="F621" s="31" t="e">
        <f>IF(F$603,43.2,NA())</f>
        <v>#N/A</v>
      </c>
      <c r="G621" s="31">
        <f>IF(G$603,18.71,NA())</f>
        <v>18.71</v>
      </c>
      <c r="H621" s="31" t="e">
        <f>IF(H$603,71.3,NA())</f>
        <v>#N/A</v>
      </c>
      <c r="I621" s="97">
        <v>7.5</v>
      </c>
      <c r="J621" s="97">
        <v>7.8</v>
      </c>
      <c r="K621" s="107"/>
      <c r="L621" s="107"/>
      <c r="M621" s="98">
        <v>11</v>
      </c>
      <c r="N621" s="107"/>
      <c r="O621" s="107"/>
      <c r="P621" s="98">
        <v>11</v>
      </c>
      <c r="Q621" s="107"/>
      <c r="R621" s="107"/>
      <c r="S621" s="107"/>
      <c r="T621" s="107"/>
      <c r="U621" s="107"/>
      <c r="V621" s="107"/>
      <c r="W621" s="107"/>
      <c r="X621" s="107"/>
      <c r="Y621" s="107"/>
      <c r="Z621" s="107"/>
      <c r="AA621" s="98">
        <v>10</v>
      </c>
      <c r="AB621" s="107"/>
      <c r="AC621" s="107"/>
      <c r="AD621" s="98">
        <v>16</v>
      </c>
      <c r="AE621" s="98">
        <v>11</v>
      </c>
      <c r="AF621" s="98">
        <v>11</v>
      </c>
      <c r="AG621" s="111"/>
      <c r="AH621" s="82" t="e">
        <f>IF(AH$603,33.45,NA())</f>
        <v>#N/A</v>
      </c>
      <c r="AI621" s="82" t="e">
        <f>IF(AI$603,27.87,NA())</f>
        <v>#N/A</v>
      </c>
      <c r="AJ621" s="82" t="e">
        <f>IF(AJ$603,73.61,NA())</f>
        <v>#N/A</v>
      </c>
      <c r="AK621" s="82" t="e">
        <f>IF(AK$603,55.04,NA())</f>
        <v>#N/A</v>
      </c>
      <c r="AL621" s="82" t="e">
        <f>IF(AL$603,20.14,NA())</f>
        <v>#N/A</v>
      </c>
      <c r="AM621" s="82" t="e">
        <f>IF(AM$603,26.87,NA())</f>
        <v>#N/A</v>
      </c>
      <c r="AN621" s="82" t="e">
        <f>IF(AN$603,70.54,NA())</f>
        <v>#N/A</v>
      </c>
      <c r="AO621" s="82" t="e">
        <f>IF(AO$603,40.83,NA())</f>
        <v>#N/A</v>
      </c>
      <c r="AP621" s="82" t="e">
        <f>IF(AP$603,41,NA())</f>
        <v>#N/A</v>
      </c>
      <c r="AQ621" s="82" t="e">
        <f>IF(AQ$603,32.53,NA())</f>
        <v>#N/A</v>
      </c>
      <c r="AR621" s="82" t="e">
        <f>IF(AR$603,30.91,NA())</f>
        <v>#N/A</v>
      </c>
      <c r="AS621" s="82" t="e">
        <f>IF(AS$603,47.1,NA())</f>
        <v>#N/A</v>
      </c>
      <c r="AT621" s="82" t="e">
        <f>IF(AT$603,56.34,NA())</f>
        <v>#N/A</v>
      </c>
      <c r="AU621" s="82" t="e">
        <f>IF(AU$603,24.83,NA())</f>
        <v>#N/A</v>
      </c>
      <c r="AV621" s="82" t="e">
        <f>IF(AV$603,20,NA())</f>
        <v>#N/A</v>
      </c>
      <c r="AW621" s="82" t="e">
        <f>IF(AW$603,61.89,NA())</f>
        <v>#N/A</v>
      </c>
      <c r="AX621" s="82" t="e">
        <f>IF(AX$603,26.36,NA())</f>
        <v>#N/A</v>
      </c>
      <c r="AY621" s="82" t="e">
        <f>IF(AY$603,45.28,NA())</f>
        <v>#N/A</v>
      </c>
    </row>
    <row r="622" spans="1:51" x14ac:dyDescent="0.3">
      <c r="A622" s="93" t="s">
        <v>96</v>
      </c>
      <c r="B622" s="31" t="e">
        <f>IF(B$603,156.26,NA())</f>
        <v>#VALUE!</v>
      </c>
      <c r="C622" s="31" t="e">
        <f>IF(C$603,42.47,NA())</f>
        <v>#VALUE!</v>
      </c>
      <c r="D622" s="31">
        <f>IF(D$603,101.9,NA())</f>
        <v>101.9</v>
      </c>
      <c r="E622" s="31" t="e">
        <f>IF(E$603,35.22,NA())</f>
        <v>#N/A</v>
      </c>
      <c r="F622" s="31" t="e">
        <f>IF(F$603,47.52,NA())</f>
        <v>#N/A</v>
      </c>
      <c r="G622" s="31">
        <f>IF(G$603,19.79,NA())</f>
        <v>19.79</v>
      </c>
      <c r="H622" s="31" t="e">
        <f>IF(H$603,71.3,NA())</f>
        <v>#N/A</v>
      </c>
      <c r="I622" s="97">
        <v>12.8</v>
      </c>
      <c r="J622" s="97">
        <v>13.4</v>
      </c>
      <c r="K622" s="98">
        <v>12</v>
      </c>
      <c r="L622" s="98">
        <v>13</v>
      </c>
      <c r="M622" s="98">
        <v>12</v>
      </c>
      <c r="N622" s="98">
        <v>15</v>
      </c>
      <c r="O622" s="98">
        <v>13</v>
      </c>
      <c r="P622" s="98">
        <v>14</v>
      </c>
      <c r="Q622" s="98">
        <v>16</v>
      </c>
      <c r="R622" s="98">
        <v>12</v>
      </c>
      <c r="S622" s="98">
        <v>10</v>
      </c>
      <c r="T622" s="98">
        <v>11</v>
      </c>
      <c r="U622" s="107"/>
      <c r="V622" s="98">
        <v>12</v>
      </c>
      <c r="W622" s="98">
        <v>16</v>
      </c>
      <c r="X622" s="98">
        <v>15</v>
      </c>
      <c r="Y622" s="98">
        <v>21</v>
      </c>
      <c r="Z622" s="98">
        <v>22</v>
      </c>
      <c r="AA622" s="98">
        <v>22</v>
      </c>
      <c r="AB622" s="98">
        <v>20</v>
      </c>
      <c r="AC622" s="98">
        <v>12</v>
      </c>
      <c r="AD622" s="111"/>
      <c r="AE622" s="111"/>
      <c r="AF622" s="111"/>
      <c r="AG622" s="111"/>
      <c r="AH622" s="82" t="e">
        <f>IF(AH$603,33.96,NA())</f>
        <v>#N/A</v>
      </c>
      <c r="AI622" s="82" t="e">
        <f>IF(AI$603,30.14,NA())</f>
        <v>#N/A</v>
      </c>
      <c r="AJ622" s="82" t="e">
        <f>IF(AJ$603,74.04,NA())</f>
        <v>#N/A</v>
      </c>
      <c r="AK622" s="82" t="e">
        <f>IF(AK$603,56.88,NA())</f>
        <v>#N/A</v>
      </c>
      <c r="AL622" s="82" t="e">
        <f>IF(AL$603,20.14,NA())</f>
        <v>#N/A</v>
      </c>
      <c r="AM622" s="82" t="e">
        <f>IF(AM$603,25.49,NA())</f>
        <v>#N/A</v>
      </c>
      <c r="AN622" s="82" t="e">
        <f>IF(AN$603,69.78,NA())</f>
        <v>#N/A</v>
      </c>
      <c r="AO622" s="82" t="e">
        <f>IF(AO$603,41.2,NA())</f>
        <v>#N/A</v>
      </c>
      <c r="AP622" s="82" t="e">
        <f>IF(AP$603,43.07,NA())</f>
        <v>#N/A</v>
      </c>
      <c r="AQ622" s="82" t="e">
        <f>IF(AQ$603,32.33,NA())</f>
        <v>#N/A</v>
      </c>
      <c r="AR622" s="82" t="e">
        <f>IF(AR$603,31.47,NA())</f>
        <v>#N/A</v>
      </c>
      <c r="AS622" s="82" t="e">
        <f>IF(AS$603,47.1,NA())</f>
        <v>#N/A</v>
      </c>
      <c r="AT622" s="82" t="e">
        <f>IF(AT$603,58.98,NA())</f>
        <v>#N/A</v>
      </c>
      <c r="AU622" s="82" t="e">
        <f>IF(AU$603,26.74,NA())</f>
        <v>#N/A</v>
      </c>
      <c r="AV622" s="82" t="e">
        <f>IF(AV$603,20,NA())</f>
        <v>#N/A</v>
      </c>
      <c r="AW622" s="82" t="e">
        <f>IF(AW$603,62.88,NA())</f>
        <v>#N/A</v>
      </c>
      <c r="AX622" s="82" t="e">
        <f>IF(AX$603,27.21,NA())</f>
        <v>#N/A</v>
      </c>
      <c r="AY622" s="82" t="e">
        <f>IF(AY$603,50.71,NA())</f>
        <v>#N/A</v>
      </c>
    </row>
    <row r="623" spans="1:51" x14ac:dyDescent="0.3">
      <c r="A623" s="93" t="s">
        <v>97</v>
      </c>
      <c r="B623" s="31" t="e">
        <f>IF(B$603,158.55,NA())</f>
        <v>#VALUE!</v>
      </c>
      <c r="C623" s="31" t="e">
        <f>IF(C$603,42.47,NA())</f>
        <v>#VALUE!</v>
      </c>
      <c r="D623" s="31">
        <f>IF(D$603,102.97,NA())</f>
        <v>102.97</v>
      </c>
      <c r="E623" s="31" t="e">
        <f>IF(E$603,35.22,NA())</f>
        <v>#N/A</v>
      </c>
      <c r="F623" s="31" t="e">
        <f>IF(F$603,49.92,NA())</f>
        <v>#N/A</v>
      </c>
      <c r="G623" s="31">
        <f>IF(G$603,19.61,NA())</f>
        <v>19.61</v>
      </c>
      <c r="H623" s="31" t="e">
        <f>IF(H$603,68.64,NA())</f>
        <v>#N/A</v>
      </c>
      <c r="I623" s="97">
        <v>14.8</v>
      </c>
      <c r="J623" s="97">
        <v>15.5</v>
      </c>
      <c r="K623" s="98">
        <v>17</v>
      </c>
      <c r="L623" s="98">
        <v>20</v>
      </c>
      <c r="M623" s="98">
        <v>21</v>
      </c>
      <c r="N623" s="98">
        <v>22</v>
      </c>
      <c r="O623" s="98">
        <v>25</v>
      </c>
      <c r="P623" s="98">
        <v>25</v>
      </c>
      <c r="Q623" s="98">
        <v>24</v>
      </c>
      <c r="R623" s="98">
        <v>24</v>
      </c>
      <c r="S623" s="98">
        <v>25</v>
      </c>
      <c r="T623" s="98">
        <v>23</v>
      </c>
      <c r="U623" s="98">
        <v>25</v>
      </c>
      <c r="V623" s="98">
        <v>32</v>
      </c>
      <c r="W623" s="98">
        <v>33</v>
      </c>
      <c r="X623" s="98">
        <v>35</v>
      </c>
      <c r="Y623" s="98">
        <v>33</v>
      </c>
      <c r="Z623" s="98">
        <v>27</v>
      </c>
      <c r="AA623" s="98">
        <v>25</v>
      </c>
      <c r="AB623" s="98">
        <v>23</v>
      </c>
      <c r="AC623" s="98">
        <v>23</v>
      </c>
      <c r="AD623" s="98">
        <v>16</v>
      </c>
      <c r="AE623" s="98">
        <v>13</v>
      </c>
      <c r="AF623" s="98">
        <v>10</v>
      </c>
      <c r="AG623" s="111"/>
      <c r="AH623" s="82" t="e">
        <f>IF(AH$603,32.93,NA())</f>
        <v>#N/A</v>
      </c>
      <c r="AI623" s="82" t="e">
        <f>IF(AI$603,28.63,NA())</f>
        <v>#N/A</v>
      </c>
      <c r="AJ623" s="82" t="e">
        <f>IF(AJ$603,72.33,NA())</f>
        <v>#N/A</v>
      </c>
      <c r="AK623" s="82" t="e">
        <f>IF(AK$603,57.42,NA())</f>
        <v>#N/A</v>
      </c>
      <c r="AL623" s="82" t="e">
        <f>IF(AL$603,20.8,NA())</f>
        <v>#N/A</v>
      </c>
      <c r="AM623" s="82" t="e">
        <f>IF(AM$603,25.49,NA())</f>
        <v>#N/A</v>
      </c>
      <c r="AN623" s="82" t="e">
        <f>IF(AN$603,67.26,NA())</f>
        <v>#N/A</v>
      </c>
      <c r="AO623" s="82" t="e">
        <f>IF(AO$603,43.7,NA())</f>
        <v>#N/A</v>
      </c>
      <c r="AP623" s="82" t="e">
        <f>IF(AP$603,40.48,NA())</f>
        <v>#N/A</v>
      </c>
      <c r="AQ623" s="82" t="e">
        <f>IF(AQ$603,31.34,NA())</f>
        <v>#N/A</v>
      </c>
      <c r="AR623" s="82" t="e">
        <f>IF(AR$603,30.91,NA())</f>
        <v>#N/A</v>
      </c>
      <c r="AS623" s="82" t="e">
        <f>IF(AS$603,49.48,NA())</f>
        <v>#N/A</v>
      </c>
      <c r="AT623" s="82" t="e">
        <f>IF(AT$603,58.87,NA())</f>
        <v>#N/A</v>
      </c>
      <c r="AU623" s="82" t="e">
        <f>IF(AU$603,23.87,NA())</f>
        <v>#N/A</v>
      </c>
      <c r="AV623" s="82" t="e">
        <f>IF(AV$603,19.15,NA())</f>
        <v>#N/A</v>
      </c>
      <c r="AW623" s="82" t="e">
        <f>IF(AW$603,64.88,NA())</f>
        <v>#N/A</v>
      </c>
      <c r="AX623" s="82" t="e">
        <f>IF(AX$603,29.76,NA())</f>
        <v>#N/A</v>
      </c>
      <c r="AY623" s="82" t="e">
        <f>IF(AY$603,49.51,NA())</f>
        <v>#N/A</v>
      </c>
    </row>
    <row r="624" spans="1:51" x14ac:dyDescent="0.3">
      <c r="A624" s="93" t="s">
        <v>98</v>
      </c>
      <c r="B624" s="31" t="e">
        <f>IF(B$603,163.3,NA())</f>
        <v>#VALUE!</v>
      </c>
      <c r="C624" s="31" t="e">
        <f>IF(C$603,41.2,NA())</f>
        <v>#VALUE!</v>
      </c>
      <c r="D624" s="31">
        <f>IF(D$603,104.76,NA())</f>
        <v>104.76</v>
      </c>
      <c r="E624" s="31" t="e">
        <f>IF(E$603,36.6,NA())</f>
        <v>#N/A</v>
      </c>
      <c r="F624" s="31" t="e">
        <f>IF(F$603,50.88,NA())</f>
        <v>#N/A</v>
      </c>
      <c r="G624" s="31">
        <f>IF(G$603,19.97,NA())</f>
        <v>19.97</v>
      </c>
      <c r="H624" s="31" t="e">
        <f>IF(H$603,66.46,NA())</f>
        <v>#N/A</v>
      </c>
      <c r="I624" s="97">
        <v>26.7</v>
      </c>
      <c r="J624" s="97">
        <v>27.9</v>
      </c>
      <c r="K624" s="98">
        <v>141</v>
      </c>
      <c r="L624" s="98">
        <v>154</v>
      </c>
      <c r="M624" s="98">
        <v>151</v>
      </c>
      <c r="N624" s="98">
        <v>147</v>
      </c>
      <c r="O624" s="98">
        <v>154</v>
      </c>
      <c r="P624" s="98">
        <v>153</v>
      </c>
      <c r="Q624" s="98">
        <v>180</v>
      </c>
      <c r="R624" s="98">
        <v>212</v>
      </c>
      <c r="S624" s="98">
        <v>241</v>
      </c>
      <c r="T624" s="98">
        <v>262</v>
      </c>
      <c r="U624" s="98">
        <v>276</v>
      </c>
      <c r="V624" s="98">
        <v>288</v>
      </c>
      <c r="W624" s="98">
        <v>303</v>
      </c>
      <c r="X624" s="98">
        <v>299</v>
      </c>
      <c r="Y624" s="98">
        <v>292</v>
      </c>
      <c r="Z624" s="98">
        <v>284</v>
      </c>
      <c r="AA624" s="98">
        <v>253</v>
      </c>
      <c r="AB624" s="98">
        <v>253</v>
      </c>
      <c r="AC624" s="98">
        <v>226</v>
      </c>
      <c r="AD624" s="98">
        <v>17</v>
      </c>
      <c r="AE624" s="98">
        <v>13</v>
      </c>
      <c r="AF624" s="98">
        <v>10</v>
      </c>
      <c r="AG624" s="111"/>
      <c r="AH624" s="82" t="e">
        <f>IF(AH$603,32.42,NA())</f>
        <v>#N/A</v>
      </c>
      <c r="AI624" s="82" t="e">
        <f>IF(AI$603,32.4,NA())</f>
        <v>#N/A</v>
      </c>
      <c r="AJ624" s="82" t="e">
        <f>IF(AJ$603,73.61,NA())</f>
        <v>#N/A</v>
      </c>
      <c r="AK624" s="82" t="e">
        <f>IF(AK$603,56.77,NA())</f>
        <v>#N/A</v>
      </c>
      <c r="AL624" s="82" t="e">
        <f>IF(AL$603,21.13,NA())</f>
        <v>#N/A</v>
      </c>
      <c r="AM624" s="82" t="e">
        <f>IF(AM$603,24.11,NA())</f>
        <v>#N/A</v>
      </c>
      <c r="AN624" s="82" t="e">
        <f>IF(AN$603,70.29,NA())</f>
        <v>#N/A</v>
      </c>
      <c r="AO624" s="82" t="e">
        <f>IF(AO$603,43.79,NA())</f>
        <v>#N/A</v>
      </c>
      <c r="AP624" s="82" t="e">
        <f>IF(AP$603,39.44,NA())</f>
        <v>#N/A</v>
      </c>
      <c r="AQ624" s="82" t="e">
        <f>IF(AQ$603,32.33,NA())</f>
        <v>#N/A</v>
      </c>
      <c r="AR624" s="82" t="e">
        <f>IF(AR$603,29.22,NA())</f>
        <v>#N/A</v>
      </c>
      <c r="AS624" s="82" t="e">
        <f>IF(AS$603,49.82,NA())</f>
        <v>#N/A</v>
      </c>
      <c r="AT624" s="82" t="e">
        <f>IF(AT$603,59.42,NA())</f>
        <v>#N/A</v>
      </c>
      <c r="AU624" s="82" t="e">
        <f>IF(AU$603,21.96,NA())</f>
        <v>#N/A</v>
      </c>
      <c r="AV624" s="82" t="e">
        <f>IF(AV$603,19.58,NA())</f>
        <v>#N/A</v>
      </c>
      <c r="AW624" s="82" t="e">
        <f>IF(AW$603,65.88,NA())</f>
        <v>#N/A</v>
      </c>
      <c r="AX624" s="82" t="e">
        <f>IF(AX$603,28.06,NA())</f>
        <v>#N/A</v>
      </c>
      <c r="AY624" s="82" t="e">
        <f>IF(AY$603,51.92,NA())</f>
        <v>#N/A</v>
      </c>
    </row>
    <row r="625" spans="1:51" x14ac:dyDescent="0.3">
      <c r="A625" s="93" t="s">
        <v>99</v>
      </c>
      <c r="B625" s="31" t="e">
        <f>IF(B$603,165.77,NA())</f>
        <v>#VALUE!</v>
      </c>
      <c r="C625" s="31" t="e">
        <f>IF(C$603,43.1,NA())</f>
        <v>#VALUE!</v>
      </c>
      <c r="D625" s="31">
        <f>IF(D$603,104.04,NA())</f>
        <v>104.04</v>
      </c>
      <c r="E625" s="31" t="e">
        <f>IF(E$603,37.98,NA())</f>
        <v>#N/A</v>
      </c>
      <c r="F625" s="31" t="e">
        <f>IF(F$603,48.96,NA())</f>
        <v>#N/A</v>
      </c>
      <c r="G625" s="31">
        <f>IF(G$603,23.38,NA())</f>
        <v>23.38</v>
      </c>
      <c r="H625" s="31" t="e">
        <f>IF(H$603,63.8,NA())</f>
        <v>#N/A</v>
      </c>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98">
        <v>12</v>
      </c>
      <c r="AE625" s="98">
        <v>10</v>
      </c>
      <c r="AF625" s="98">
        <v>10</v>
      </c>
      <c r="AG625" s="111"/>
      <c r="AH625" s="82" t="e">
        <f>IF(AH$603,33.45,NA())</f>
        <v>#N/A</v>
      </c>
      <c r="AI625" s="82" t="e">
        <f>IF(AI$603,34.66,NA())</f>
        <v>#N/A</v>
      </c>
      <c r="AJ625" s="82" t="e">
        <f>IF(AJ$603,76.18,NA())</f>
        <v>#N/A</v>
      </c>
      <c r="AK625" s="82" t="e">
        <f>IF(AK$603,57.31,NA())</f>
        <v>#N/A</v>
      </c>
      <c r="AL625" s="82" t="e">
        <f>IF(AL$603,22.12,NA())</f>
        <v>#N/A</v>
      </c>
      <c r="AM625" s="82" t="e">
        <f>IF(AM$603,24.8,NA())</f>
        <v>#N/A</v>
      </c>
      <c r="AN625" s="82" t="e">
        <f>IF(AN$603,69.66,NA())</f>
        <v>#N/A</v>
      </c>
      <c r="AO625" s="82" t="e">
        <f>IF(AO$603,42.31,NA())</f>
        <v>#N/A</v>
      </c>
      <c r="AP625" s="82" t="e">
        <f>IF(AP$603,37.88,NA())</f>
        <v>#N/A</v>
      </c>
      <c r="AQ625" s="82" t="e">
        <f>IF(AQ$603,32.92,NA())</f>
        <v>#N/A</v>
      </c>
      <c r="AR625" s="82" t="e">
        <f>IF(AR$603,27.54,NA())</f>
        <v>#N/A</v>
      </c>
      <c r="AS625" s="82" t="e">
        <f>IF(AS$603,48.46,NA())</f>
        <v>#N/A</v>
      </c>
      <c r="AT625" s="82" t="e">
        <f>IF(AT$603,61.39,NA())</f>
        <v>#N/A</v>
      </c>
      <c r="AU625" s="82" t="e">
        <f>IF(AU$603,25.78,NA())</f>
        <v>#N/A</v>
      </c>
      <c r="AV625" s="82" t="e">
        <f>IF(AV$603,19.58,NA())</f>
        <v>#N/A</v>
      </c>
      <c r="AW625" s="82" t="e">
        <f>IF(AW$603,64.88,NA())</f>
        <v>#N/A</v>
      </c>
      <c r="AX625" s="82" t="e">
        <f>IF(AX$603,30.61,NA())</f>
        <v>#N/A</v>
      </c>
      <c r="AY625" s="82" t="e">
        <f>IF(AY$603,55.54,NA())</f>
        <v>#N/A</v>
      </c>
    </row>
    <row r="626" spans="1:51" x14ac:dyDescent="0.3">
      <c r="A626" s="93" t="s">
        <v>100</v>
      </c>
      <c r="B626" s="31" t="e">
        <f>IF(B$603,162.42,NA())</f>
        <v>#VALUE!</v>
      </c>
      <c r="C626" s="31" t="e">
        <f>IF(C$603,46.27,NA())</f>
        <v>#VALUE!</v>
      </c>
      <c r="D626" s="31">
        <f>IF(D$603,104.76,NA())</f>
        <v>104.76</v>
      </c>
      <c r="E626" s="31" t="e">
        <f>IF(E$603,39.71,NA())</f>
        <v>#N/A</v>
      </c>
      <c r="F626" s="31" t="e">
        <f>IF(F$603,49.44,NA())</f>
        <v>#N/A</v>
      </c>
      <c r="G626" s="31">
        <f>IF(G$603,25.18,NA())</f>
        <v>25.18</v>
      </c>
      <c r="H626" s="31" t="e">
        <f>IF(H$603,60.78,NA())</f>
        <v>#N/A</v>
      </c>
      <c r="I626" s="97">
        <v>7.8</v>
      </c>
      <c r="J626" s="97">
        <v>8.1999999999999993</v>
      </c>
      <c r="K626" s="98">
        <v>13</v>
      </c>
      <c r="L626" s="98">
        <v>10</v>
      </c>
      <c r="M626" s="98">
        <v>11</v>
      </c>
      <c r="N626" s="98">
        <v>10</v>
      </c>
      <c r="O626" s="98">
        <v>14</v>
      </c>
      <c r="P626" s="98">
        <v>16</v>
      </c>
      <c r="Q626" s="98">
        <v>17</v>
      </c>
      <c r="R626" s="98">
        <v>18</v>
      </c>
      <c r="S626" s="98">
        <v>16</v>
      </c>
      <c r="T626" s="98">
        <v>15</v>
      </c>
      <c r="U626" s="98">
        <v>13</v>
      </c>
      <c r="V626" s="98">
        <v>13</v>
      </c>
      <c r="W626" s="98">
        <v>14</v>
      </c>
      <c r="X626" s="98">
        <v>17</v>
      </c>
      <c r="Y626" s="98">
        <v>14</v>
      </c>
      <c r="Z626" s="98">
        <v>13</v>
      </c>
      <c r="AA626" s="98">
        <v>12</v>
      </c>
      <c r="AB626" s="98">
        <v>10</v>
      </c>
      <c r="AC626" s="107"/>
      <c r="AD626" s="82" t="e">
        <f>IF(AD$603,45.25,NA())</f>
        <v>#N/A</v>
      </c>
      <c r="AE626" s="82" t="e">
        <f>IF(AE$603,59.38,NA())</f>
        <v>#N/A</v>
      </c>
      <c r="AF626" s="82" t="e">
        <f>IF(AF$603,48.39,NA())</f>
        <v>#N/A</v>
      </c>
      <c r="AG626" s="82" t="e">
        <f>IF(AG$603,34.27,NA())</f>
        <v>#N/A</v>
      </c>
      <c r="AH626" s="82" t="e">
        <f>IF(AH$603,32.93,NA())</f>
        <v>#N/A</v>
      </c>
      <c r="AI626" s="82" t="e">
        <f>IF(AI$603,33.15,NA())</f>
        <v>#N/A</v>
      </c>
      <c r="AJ626" s="82" t="e">
        <f>IF(AJ$603,79.18,NA())</f>
        <v>#N/A</v>
      </c>
      <c r="AK626" s="82" t="e">
        <f>IF(AK$603,58.39,NA())</f>
        <v>#N/A</v>
      </c>
      <c r="AL626" s="82" t="e">
        <f>IF(AL$603,23.44,NA())</f>
        <v>#N/A</v>
      </c>
      <c r="AM626" s="82" t="e">
        <f>IF(AM$603,26.18,NA())</f>
        <v>#N/A</v>
      </c>
      <c r="AN626" s="82" t="e">
        <f>IF(AN$603,70.92,NA())</f>
        <v>#N/A</v>
      </c>
      <c r="AO626" s="82" t="e">
        <f>IF(AO$603,41.29,NA())</f>
        <v>#N/A</v>
      </c>
      <c r="AP626" s="82" t="e">
        <f>IF(AP$603,38.92,NA())</f>
        <v>#N/A</v>
      </c>
      <c r="AQ626" s="82" t="e">
        <f>IF(AQ$603,32.92,NA())</f>
        <v>#N/A</v>
      </c>
      <c r="AR626" s="82" t="e">
        <f>IF(AR$603,28.66,NA())</f>
        <v>#N/A</v>
      </c>
      <c r="AS626" s="82" t="e">
        <f>IF(AS$603,48.97,NA())</f>
        <v>#N/A</v>
      </c>
      <c r="AT626" s="82" t="e">
        <f>IF(AT$603,62.49,NA())</f>
        <v>#N/A</v>
      </c>
      <c r="AU626" s="82" t="e">
        <f>IF(AU$603,25.78,NA())</f>
        <v>#N/A</v>
      </c>
      <c r="AV626" s="82" t="e">
        <f>IF(AV$603,18.73,NA())</f>
        <v>#N/A</v>
      </c>
      <c r="AW626" s="82" t="e">
        <f>IF(AW$603,59.89,NA())</f>
        <v>#N/A</v>
      </c>
      <c r="AX626" s="82" t="e">
        <f>IF(AX$603,32.31,NA())</f>
        <v>#N/A</v>
      </c>
      <c r="AY626" s="82" t="e">
        <f>IF(AY$603,57.66,NA())</f>
        <v>#N/A</v>
      </c>
    </row>
    <row r="627" spans="1:51" x14ac:dyDescent="0.3">
      <c r="A627" s="81" t="s">
        <v>101</v>
      </c>
      <c r="B627" s="82" t="e">
        <f>IF(B$603,159.96,NA())</f>
        <v>#VALUE!</v>
      </c>
      <c r="C627" s="82" t="e">
        <f>IF(C$603,46.27,NA())</f>
        <v>#VALUE!</v>
      </c>
      <c r="D627" s="82">
        <f>IF(D$603,106.54,NA())</f>
        <v>106.54</v>
      </c>
      <c r="E627" s="82" t="e">
        <f>IF(E$603,39.02,NA())</f>
        <v>#N/A</v>
      </c>
      <c r="F627" s="82" t="e">
        <f>IF(F$603,49.44,NA())</f>
        <v>#N/A</v>
      </c>
      <c r="G627" s="82">
        <f>IF(G$603,27.88,NA())</f>
        <v>27.88</v>
      </c>
      <c r="H627" s="82" t="e">
        <f>IF(H$603,61.51,NA())</f>
        <v>#N/A</v>
      </c>
      <c r="I627" s="82">
        <f>IF(I$603,42.51,NA())</f>
        <v>42.51</v>
      </c>
      <c r="J627" s="82" t="e">
        <f>NA()</f>
        <v>#N/A</v>
      </c>
      <c r="K627" s="82">
        <f>IF(K$603,42.47,NA())</f>
        <v>42.47</v>
      </c>
      <c r="L627" s="82">
        <f>IF(L$603,50.48,NA())</f>
        <v>50.48</v>
      </c>
      <c r="M627" s="82">
        <f>IF(M$603,102.84,NA())</f>
        <v>102.84</v>
      </c>
      <c r="N627" s="82">
        <f>IF(N$603,42.3,NA())</f>
        <v>42.3</v>
      </c>
      <c r="O627" s="82">
        <f>IF(O$603,33.27,NA())</f>
        <v>33.270000000000003</v>
      </c>
      <c r="P627" s="82">
        <f>IF(P$603,25.17,NA())</f>
        <v>25.17</v>
      </c>
      <c r="Q627" s="82">
        <f>IF(Q$603,87.48,NA())</f>
        <v>87.48</v>
      </c>
      <c r="R627" s="82">
        <f>IF(R$603,35.81,NA())</f>
        <v>35.81</v>
      </c>
      <c r="S627" s="82">
        <f>IF(S$603,84.46,NA())</f>
        <v>84.46</v>
      </c>
      <c r="T627" s="82">
        <f>IF(T$603,69.07,NA())</f>
        <v>69.069999999999993</v>
      </c>
      <c r="U627" s="82">
        <f>IF(U$603,120.75,NA())</f>
        <v>120.75</v>
      </c>
      <c r="V627" s="82">
        <f>IF(V$603,21.06,NA())</f>
        <v>21.06</v>
      </c>
      <c r="W627" s="82">
        <f>IF(W$603,68.68,NA())</f>
        <v>68.680000000000007</v>
      </c>
      <c r="X627" s="82">
        <f>IF(X$603,52.93,NA())</f>
        <v>52.93</v>
      </c>
      <c r="Y627" s="82">
        <f>IF(Y$603,40.62,NA())</f>
        <v>40.619999999999997</v>
      </c>
      <c r="Z627" s="82">
        <f>IF(Z$603,56.97,NA())</f>
        <v>56.97</v>
      </c>
      <c r="AA627" s="82">
        <f>IF(AA$603,51.02,NA())</f>
        <v>51.02</v>
      </c>
      <c r="AB627" s="82">
        <f>IF(AB$603,26.49,NA())</f>
        <v>26.49</v>
      </c>
      <c r="AC627" s="82">
        <f>IF(AC$603,73.35,NA())</f>
        <v>73.349999999999994</v>
      </c>
      <c r="AD627" s="82" t="e">
        <f>IF(AD$603,44.29,NA())</f>
        <v>#N/A</v>
      </c>
      <c r="AE627" s="82" t="e">
        <f>IF(AE$603,61.66,NA())</f>
        <v>#N/A</v>
      </c>
      <c r="AF627" s="82" t="e">
        <f>IF(AF$603,47.48,NA())</f>
        <v>#N/A</v>
      </c>
      <c r="AG627" s="82" t="e">
        <f>IF(AG$603,36.51,NA())</f>
        <v>#N/A</v>
      </c>
      <c r="AH627" s="82" t="e">
        <f>IF(AH$603,30.87,NA())</f>
        <v>#N/A</v>
      </c>
      <c r="AI627" s="82" t="e">
        <f>IF(AI$603,31.64,NA())</f>
        <v>#N/A</v>
      </c>
      <c r="AJ627" s="82" t="e">
        <f>IF(AJ$603,79.6,NA())</f>
        <v>#N/A</v>
      </c>
      <c r="AK627" s="82" t="e">
        <f>IF(AK$603,58.39,NA())</f>
        <v>#N/A</v>
      </c>
      <c r="AL627" s="82" t="e">
        <f>IF(AL$603,24.43,NA())</f>
        <v>#N/A</v>
      </c>
      <c r="AM627" s="82" t="e">
        <f>IF(AM$603,24.8,NA())</f>
        <v>#N/A</v>
      </c>
      <c r="AN627" s="82" t="e">
        <f>IF(AN$603,71.17,NA())</f>
        <v>#N/A</v>
      </c>
      <c r="AO627" s="82" t="e">
        <f>IF(AO$603,40.92,NA())</f>
        <v>#N/A</v>
      </c>
      <c r="AP627" s="82" t="e">
        <f>IF(AP$603,37.88,NA())</f>
        <v>#N/A</v>
      </c>
      <c r="AQ627" s="82" t="e">
        <f>IF(AQ$603,34.1,NA())</f>
        <v>#N/A</v>
      </c>
      <c r="AR627" s="82" t="e">
        <f>IF(AR$603,29.22,NA())</f>
        <v>#N/A</v>
      </c>
      <c r="AS627" s="82" t="e">
        <f>IF(AS$603,48.8,NA())</f>
        <v>#N/A</v>
      </c>
      <c r="AT627" s="82" t="e">
        <f>IF(AT$603,62.6,NA())</f>
        <v>#N/A</v>
      </c>
      <c r="AU627" s="82" t="e">
        <f>IF(AU$603,25.78,NA())</f>
        <v>#N/A</v>
      </c>
      <c r="AV627" s="82" t="e">
        <f>IF(AV$603,19.58,NA())</f>
        <v>#N/A</v>
      </c>
      <c r="AW627" s="82" t="e">
        <f>IF(AW$603,66.88,NA())</f>
        <v>#N/A</v>
      </c>
      <c r="AX627" s="82" t="e">
        <f>IF(AX$603,33.16,NA())</f>
        <v>#N/A</v>
      </c>
      <c r="AY627" s="82" t="e">
        <f>IF(AY$603,57.66,NA())</f>
        <v>#N/A</v>
      </c>
    </row>
    <row r="628" spans="1:51" x14ac:dyDescent="0.3">
      <c r="A628" s="81" t="s">
        <v>102</v>
      </c>
      <c r="B628" s="82" t="e">
        <f>IF(B$603,155.56,NA())</f>
        <v>#VALUE!</v>
      </c>
      <c r="C628" s="82" t="e">
        <f>IF(C$603,47.54,NA())</f>
        <v>#VALUE!</v>
      </c>
      <c r="D628" s="82">
        <f>IF(D$603,104.04,NA())</f>
        <v>104.04</v>
      </c>
      <c r="E628" s="82" t="e">
        <f>IF(E$603,41.78,NA())</f>
        <v>#N/A</v>
      </c>
      <c r="F628" s="82" t="e">
        <f>IF(F$603,51.84,NA())</f>
        <v>#N/A</v>
      </c>
      <c r="G628" s="82">
        <f>IF(G$603,30.4,NA())</f>
        <v>30.4</v>
      </c>
      <c r="H628" s="82" t="e">
        <f>IF(H$603,62.23,NA())</f>
        <v>#N/A</v>
      </c>
      <c r="I628" s="82">
        <f>IF(I$603,45.03,NA())</f>
        <v>45.03</v>
      </c>
      <c r="J628" s="82" t="e">
        <f>NA()</f>
        <v>#N/A</v>
      </c>
      <c r="K628" s="82">
        <f>IF(K$603,43.85,NA())</f>
        <v>43.85</v>
      </c>
      <c r="L628" s="82">
        <f>IF(L$603,49.79,NA())</f>
        <v>49.79</v>
      </c>
      <c r="M628" s="82">
        <f>IF(M$603,105.87,NA())</f>
        <v>105.87</v>
      </c>
      <c r="N628" s="82">
        <f>IF(N$603,44.57,NA())</f>
        <v>44.57</v>
      </c>
      <c r="O628" s="82">
        <f>IF(O$603,34.04,NA())</f>
        <v>34.04</v>
      </c>
      <c r="P628" s="82">
        <f>IF(P$603,23.4,NA())</f>
        <v>23.4</v>
      </c>
      <c r="Q628" s="82">
        <f>IF(Q$603,76.2,NA())</f>
        <v>76.2</v>
      </c>
      <c r="R628" s="82">
        <f>IF(R$603,35.81,NA())</f>
        <v>35.81</v>
      </c>
      <c r="S628" s="82">
        <f>IF(S$603,85.45,NA())</f>
        <v>85.45</v>
      </c>
      <c r="T628" s="82">
        <f>IF(T$603,70.26,NA())</f>
        <v>70.260000000000005</v>
      </c>
      <c r="U628" s="82">
        <f>IF(U$603,116.73,NA())</f>
        <v>116.73</v>
      </c>
      <c r="V628" s="82">
        <f>IF(V$603,21.93,NA())</f>
        <v>21.93</v>
      </c>
      <c r="W628" s="82">
        <f>IF(W$603,71.14,NA())</f>
        <v>71.14</v>
      </c>
      <c r="X628" s="82">
        <f>IF(X$603,54.74,NA())</f>
        <v>54.74</v>
      </c>
      <c r="Y628" s="82">
        <f>IF(Y$603,38.27,NA())</f>
        <v>38.270000000000003</v>
      </c>
      <c r="Z628" s="82">
        <f>IF(Z$603,58.04,NA())</f>
        <v>58.04</v>
      </c>
      <c r="AA628" s="82">
        <f>IF(AA$603,53.74,NA())</f>
        <v>53.74</v>
      </c>
      <c r="AB628" s="82">
        <f>IF(AB$603,27.31,NA())</f>
        <v>27.31</v>
      </c>
      <c r="AC628" s="82">
        <f>IF(AC$603,73.25,NA())</f>
        <v>73.25</v>
      </c>
      <c r="AD628" s="82" t="e">
        <f>IF(AD$603,47.18,NA())</f>
        <v>#N/A</v>
      </c>
      <c r="AE628" s="82" t="e">
        <f>IF(AE$603,60.95,NA())</f>
        <v>#N/A</v>
      </c>
      <c r="AF628" s="82" t="e">
        <f>IF(AF$603,46.57,NA())</f>
        <v>#N/A</v>
      </c>
      <c r="AG628" s="82" t="e">
        <f>IF(AG$603,37.25,NA())</f>
        <v>#N/A</v>
      </c>
      <c r="AH628" s="82" t="e">
        <f>IF(AH$603,31.9,NA())</f>
        <v>#N/A</v>
      </c>
      <c r="AI628" s="82" t="e">
        <f>IF(AI$603,30.14,NA())</f>
        <v>#N/A</v>
      </c>
      <c r="AJ628" s="82" t="e">
        <f>IF(AJ$603,83.46,NA())</f>
        <v>#N/A</v>
      </c>
      <c r="AK628" s="82" t="e">
        <f>IF(AK$603,60.67,NA())</f>
        <v>#N/A</v>
      </c>
      <c r="AL628" s="82" t="e">
        <f>IF(AL$603,25.09,NA())</f>
        <v>#N/A</v>
      </c>
      <c r="AM628" s="82" t="e">
        <f>IF(AM$603,28.24,NA())</f>
        <v>#N/A</v>
      </c>
      <c r="AN628" s="82" t="e">
        <f>IF(AN$603,72.93,NA())</f>
        <v>#N/A</v>
      </c>
      <c r="AO628" s="82" t="e">
        <f>IF(AO$603,42.12,NA())</f>
        <v>#N/A</v>
      </c>
      <c r="AP628" s="82" t="e">
        <f>IF(AP$603,42.56,NA())</f>
        <v>#N/A</v>
      </c>
      <c r="AQ628" s="82" t="e">
        <f>IF(AQ$603,33.12,NA())</f>
        <v>#N/A</v>
      </c>
      <c r="AR628" s="82" t="e">
        <f>IF(AR$603,32.03,NA())</f>
        <v>#N/A</v>
      </c>
      <c r="AS628" s="82" t="e">
        <f>IF(AS$603,50.5,NA())</f>
        <v>#N/A</v>
      </c>
      <c r="AT628" s="82" t="e">
        <f>IF(AT$603,60.95,NA())</f>
        <v>#N/A</v>
      </c>
      <c r="AU628" s="82" t="e">
        <f>IF(AU$603,24.83,NA())</f>
        <v>#N/A</v>
      </c>
      <c r="AV628" s="82" t="e">
        <f>IF(AV$603,19.58,NA())</f>
        <v>#N/A</v>
      </c>
      <c r="AW628" s="82" t="e">
        <f>IF(AW$603,70.87,NA())</f>
        <v>#N/A</v>
      </c>
      <c r="AX628" s="82" t="e">
        <f>IF(AX$603,33.16,NA())</f>
        <v>#N/A</v>
      </c>
      <c r="AY628" s="82" t="e">
        <f>IF(AY$603,60.37,NA())</f>
        <v>#N/A</v>
      </c>
    </row>
    <row r="629" spans="1:51" x14ac:dyDescent="0.3">
      <c r="A629" s="81" t="s">
        <v>103</v>
      </c>
      <c r="B629" s="82" t="e">
        <f>IF(B$603,153.8,NA())</f>
        <v>#VALUE!</v>
      </c>
      <c r="C629" s="82" t="e">
        <f>IF(C$603,49.44,NA())</f>
        <v>#VALUE!</v>
      </c>
      <c r="D629" s="82">
        <f>IF(D$603,102.61,NA())</f>
        <v>102.61</v>
      </c>
      <c r="E629" s="82" t="e">
        <f>IF(E$603,43.16,NA())</f>
        <v>#N/A</v>
      </c>
      <c r="F629" s="82" t="e">
        <f>IF(F$603,54.72,NA())</f>
        <v>#N/A</v>
      </c>
      <c r="G629" s="82">
        <f>IF(G$603,32.02,NA())</f>
        <v>32.020000000000003</v>
      </c>
      <c r="H629" s="82" t="e">
        <f>IF(H$603,65.01,NA())</f>
        <v>#N/A</v>
      </c>
      <c r="I629" s="82">
        <f>IF(I$603,45.83,NA())</f>
        <v>45.83</v>
      </c>
      <c r="J629" s="82" t="e">
        <f>NA()</f>
        <v>#N/A</v>
      </c>
      <c r="K629" s="82">
        <f>IF(K$603,43.47,NA())</f>
        <v>43.47</v>
      </c>
      <c r="L629" s="82">
        <f>IF(L$603,50.07,NA())</f>
        <v>50.07</v>
      </c>
      <c r="M629" s="82">
        <f>IF(M$603,108.35,NA())</f>
        <v>108.35</v>
      </c>
      <c r="N629" s="82">
        <f>IF(N$603,43.81,NA())</f>
        <v>43.81</v>
      </c>
      <c r="O629" s="82">
        <f>IF(O$603,35.97,NA())</f>
        <v>35.97</v>
      </c>
      <c r="P629" s="82">
        <f>IF(P$603,24.28,NA())</f>
        <v>24.28</v>
      </c>
      <c r="Q629" s="82">
        <f>IF(Q$603,80.9,NA())</f>
        <v>80.900000000000006</v>
      </c>
      <c r="R629" s="82">
        <f>IF(R$603,35.28,NA())</f>
        <v>35.28</v>
      </c>
      <c r="S629" s="82">
        <f>IF(S$603,90.97,NA())</f>
        <v>90.97</v>
      </c>
      <c r="T629" s="82">
        <f>IF(T$603,69.37,NA())</f>
        <v>69.37</v>
      </c>
      <c r="U629" s="82">
        <f>IF(U$603,113.28,NA())</f>
        <v>113.28</v>
      </c>
      <c r="V629" s="82">
        <f>IF(V$603,27.2,NA())</f>
        <v>27.2</v>
      </c>
      <c r="W629" s="82">
        <f>IF(W$603,71.83,NA())</f>
        <v>71.83</v>
      </c>
      <c r="X629" s="82">
        <f>IF(X$603,56.69,NA())</f>
        <v>56.69</v>
      </c>
      <c r="Y629" s="82">
        <f>IF(Y$603,40.62,NA())</f>
        <v>40.619999999999997</v>
      </c>
      <c r="Z629" s="82">
        <f>IF(Z$603,55.89,NA())</f>
        <v>55.89</v>
      </c>
      <c r="AA629" s="82">
        <f>IF(AA$603,53.74,NA())</f>
        <v>53.74</v>
      </c>
      <c r="AB629" s="82">
        <f>IF(AB$603,27.9,NA())</f>
        <v>27.9</v>
      </c>
      <c r="AC629" s="82">
        <f>IF(AC$603,74.98,NA())</f>
        <v>74.98</v>
      </c>
      <c r="AD629" s="82" t="e">
        <f>IF(AD$603,54.88,NA())</f>
        <v>#N/A</v>
      </c>
      <c r="AE629" s="82" t="e">
        <f>IF(AE$603,62.23,NA())</f>
        <v>#N/A</v>
      </c>
      <c r="AF629" s="82" t="e">
        <f>IF(AF$603,42,NA())</f>
        <v>#N/A</v>
      </c>
      <c r="AG629" s="82" t="e">
        <f>IF(AG$603,39.49,NA())</f>
        <v>#N/A</v>
      </c>
      <c r="AH629" s="82" t="e">
        <f>IF(AH$603,33.45,NA())</f>
        <v>#N/A</v>
      </c>
      <c r="AI629" s="82" t="e">
        <f>IF(AI$603,29.38,NA())</f>
        <v>#N/A</v>
      </c>
      <c r="AJ629" s="82" t="e">
        <f>IF(AJ$603,87.31,NA())</f>
        <v>#N/A</v>
      </c>
      <c r="AK629" s="82" t="e">
        <f>IF(AK$603,64.34,NA())</f>
        <v>#N/A</v>
      </c>
      <c r="AL629" s="82" t="e">
        <f>IF(AL$603,27.4,NA())</f>
        <v>#N/A</v>
      </c>
      <c r="AM629" s="82" t="e">
        <f>IF(AM$603,28.24,NA())</f>
        <v>#N/A</v>
      </c>
      <c r="AN629" s="82" t="e">
        <f>IF(AN$603,72.3,NA())</f>
        <v>#N/A</v>
      </c>
      <c r="AO629" s="82" t="e">
        <f>IF(AO$603,41.75,NA())</f>
        <v>#N/A</v>
      </c>
      <c r="AP629" s="82" t="e">
        <f>IF(AP$603,47.75,NA())</f>
        <v>#N/A</v>
      </c>
      <c r="AQ629" s="82" t="e">
        <f>IF(AQ$603,34.89,NA())</f>
        <v>#N/A</v>
      </c>
      <c r="AR629" s="82" t="e">
        <f>IF(AR$603,32.59,NA())</f>
        <v>#N/A</v>
      </c>
      <c r="AS629" s="82" t="e">
        <f>IF(AS$603,51.69,NA())</f>
        <v>#N/A</v>
      </c>
      <c r="AT629" s="82" t="e">
        <f>IF(AT$603,61.5,NA())</f>
        <v>#N/A</v>
      </c>
      <c r="AU629" s="82" t="e">
        <f>IF(AU$603,26.74,NA())</f>
        <v>#N/A</v>
      </c>
      <c r="AV629" s="82" t="e">
        <f>IF(AV$603,19.15,NA())</f>
        <v>#N/A</v>
      </c>
      <c r="AW629" s="82" t="e">
        <f>IF(AW$603,68.87,NA())</f>
        <v>#N/A</v>
      </c>
      <c r="AX629" s="82" t="e">
        <f>IF(AX$603,33.16,NA())</f>
        <v>#N/A</v>
      </c>
      <c r="AY629" s="82" t="e">
        <f>IF(AY$603,61.88,NA())</f>
        <v>#N/A</v>
      </c>
    </row>
    <row r="630" spans="1:51" x14ac:dyDescent="0.3">
      <c r="A630" s="81" t="s">
        <v>104</v>
      </c>
      <c r="B630" s="82" t="e">
        <f>IF(B$603,154.33,NA())</f>
        <v>#VALUE!</v>
      </c>
      <c r="C630" s="82" t="e">
        <f>IF(C$603,51.98,NA())</f>
        <v>#VALUE!</v>
      </c>
      <c r="D630" s="82">
        <f>IF(D$603,101.54,NA())</f>
        <v>101.54</v>
      </c>
      <c r="E630" s="82" t="e">
        <f>IF(E$603,42.13,NA())</f>
        <v>#N/A</v>
      </c>
      <c r="F630" s="82" t="e">
        <f>IF(F$603,57.6,NA())</f>
        <v>#N/A</v>
      </c>
      <c r="G630" s="82">
        <f>IF(G$603,33.1,NA())</f>
        <v>33.1</v>
      </c>
      <c r="H630" s="82" t="e">
        <f>IF(H$603,66.95,NA())</f>
        <v>#N/A</v>
      </c>
      <c r="I630" s="82">
        <f>IF(I$603,45.96,NA())</f>
        <v>45.96</v>
      </c>
      <c r="J630" s="82" t="e">
        <f>NA()</f>
        <v>#N/A</v>
      </c>
      <c r="K630" s="82">
        <f>IF(K$603,45.23,NA())</f>
        <v>45.23</v>
      </c>
      <c r="L630" s="82">
        <f>IF(L$603,49.93,NA())</f>
        <v>49.93</v>
      </c>
      <c r="M630" s="82">
        <f>IF(M$603,105.32,NA())</f>
        <v>105.32</v>
      </c>
      <c r="N630" s="82">
        <f>IF(N$603,44.57,NA())</f>
        <v>44.57</v>
      </c>
      <c r="O630" s="82">
        <f>IF(O$603,37.13,NA())</f>
        <v>37.130000000000003</v>
      </c>
      <c r="P630" s="82">
        <f>IF(P$603,28.26,NA())</f>
        <v>28.26</v>
      </c>
      <c r="Q630" s="82">
        <f>IF(Q$603,82.78,NA())</f>
        <v>82.78</v>
      </c>
      <c r="R630" s="82">
        <f>IF(R$603,36.23,NA())</f>
        <v>36.229999999999997</v>
      </c>
      <c r="S630" s="82">
        <f>IF(S$603,89.39,NA())</f>
        <v>89.39</v>
      </c>
      <c r="T630" s="82">
        <f>IF(T$603,70.26,NA())</f>
        <v>70.260000000000005</v>
      </c>
      <c r="U630" s="82">
        <f>IF(U$603,112.7,NA())</f>
        <v>112.7</v>
      </c>
      <c r="V630" s="82">
        <f>IF(V$603,27.2,NA())</f>
        <v>27.2</v>
      </c>
      <c r="W630" s="82">
        <f>IF(W$603,72.51,NA())</f>
        <v>72.510000000000005</v>
      </c>
      <c r="X630" s="82">
        <f>IF(X$603,58.93,NA())</f>
        <v>58.93</v>
      </c>
      <c r="Y630" s="82">
        <f>IF(Y$603,41.8,NA())</f>
        <v>41.8</v>
      </c>
      <c r="Z630" s="82">
        <f>IF(Z$603,55.53,NA())</f>
        <v>55.53</v>
      </c>
      <c r="AA630" s="82">
        <f>IF(AA$603,53.06,NA())</f>
        <v>53.06</v>
      </c>
      <c r="AB630" s="82">
        <f>IF(AB$603,28.5,NA())</f>
        <v>28.5</v>
      </c>
      <c r="AC630" s="82">
        <f>IF(AC$603,74.37,NA())</f>
        <v>74.37</v>
      </c>
      <c r="AD630" s="82" t="e">
        <f>IF(AD$603,58.73,NA())</f>
        <v>#N/A</v>
      </c>
      <c r="AE630" s="82" t="e">
        <f>IF(AE$603,64.08,NA())</f>
        <v>#N/A</v>
      </c>
      <c r="AF630" s="82" t="e">
        <f>IF(AF$603,46.57,NA())</f>
        <v>#N/A</v>
      </c>
      <c r="AG630" s="82" t="e">
        <f>IF(AG$603,40.98,NA())</f>
        <v>#N/A</v>
      </c>
      <c r="AH630" s="82" t="e">
        <f>IF(AH$603,36.53,NA())</f>
        <v>#N/A</v>
      </c>
      <c r="AI630" s="82" t="e">
        <f>IF(AI$603,30.14,NA())</f>
        <v>#N/A</v>
      </c>
      <c r="AJ630" s="82" t="e">
        <f>IF(AJ$603,91.16,NA())</f>
        <v>#N/A</v>
      </c>
      <c r="AK630" s="82" t="e">
        <f>IF(AK$603,65.96,NA())</f>
        <v>#N/A</v>
      </c>
      <c r="AL630" s="82" t="e">
        <f>IF(AL$603,30.37,NA())</f>
        <v>#N/A</v>
      </c>
      <c r="AM630" s="82" t="e">
        <f>IF(AM$603,28.24,NA())</f>
        <v>#N/A</v>
      </c>
      <c r="AN630" s="82" t="e">
        <f>IF(AN$603,73.69,NA())</f>
        <v>#N/A</v>
      </c>
      <c r="AO630" s="82" t="e">
        <f>IF(AO$603,43.79,NA())</f>
        <v>#N/A</v>
      </c>
      <c r="AP630" s="82" t="e">
        <f>IF(AP$603,50.86,NA())</f>
        <v>#N/A</v>
      </c>
      <c r="AQ630" s="82" t="e">
        <f>IF(AQ$603,37.06,NA())</f>
        <v>#N/A</v>
      </c>
      <c r="AR630" s="82" t="e">
        <f>IF(AR$603,34.28,NA())</f>
        <v>#N/A</v>
      </c>
      <c r="AS630" s="82" t="e">
        <f>IF(AS$603,53.05,NA())</f>
        <v>#N/A</v>
      </c>
      <c r="AT630" s="82" t="e">
        <f>IF(AT$603,61.28,NA())</f>
        <v>#N/A</v>
      </c>
      <c r="AU630" s="82" t="e">
        <f>IF(AU$603,26.74,NA())</f>
        <v>#N/A</v>
      </c>
      <c r="AV630" s="82" t="e">
        <f>IF(AV$603,18.3,NA())</f>
        <v>#N/A</v>
      </c>
      <c r="AW630" s="82" t="e">
        <f>IF(AW$603,71.87,NA())</f>
        <v>#N/A</v>
      </c>
      <c r="AX630" s="82" t="e">
        <f>IF(AX$603,33.16,NA())</f>
        <v>#N/A</v>
      </c>
      <c r="AY630" s="82" t="e">
        <f>IF(AY$603,64.6,NA())</f>
        <v>#N/A</v>
      </c>
    </row>
    <row r="631" spans="1:51" x14ac:dyDescent="0.3">
      <c r="A631" s="81" t="s">
        <v>105</v>
      </c>
      <c r="B631" s="82" t="e">
        <f>IF(B$603,152.04,NA())</f>
        <v>#VALUE!</v>
      </c>
      <c r="C631" s="82" t="e">
        <f>IF(C$603,51.34,NA())</f>
        <v>#VALUE!</v>
      </c>
      <c r="D631" s="82">
        <f>IF(D$603,104.04,NA())</f>
        <v>104.04</v>
      </c>
      <c r="E631" s="82" t="e">
        <f>IF(E$603,41.09,NA())</f>
        <v>#N/A</v>
      </c>
      <c r="F631" s="82" t="e">
        <f>IF(F$603,56.16,NA())</f>
        <v>#N/A</v>
      </c>
      <c r="G631" s="82">
        <f>IF(G$603,34.72,NA())</f>
        <v>34.72</v>
      </c>
      <c r="H631" s="82" t="e">
        <f>IF(H$603,64.89,NA())</f>
        <v>#N/A</v>
      </c>
      <c r="I631" s="82">
        <f>IF(I$603,46.36,NA())</f>
        <v>46.36</v>
      </c>
      <c r="J631" s="82" t="e">
        <f>NA()</f>
        <v>#N/A</v>
      </c>
      <c r="K631" s="82">
        <f>IF(K$603,47.12,NA())</f>
        <v>47.12</v>
      </c>
      <c r="L631" s="82">
        <f>IF(L$603,48.42,NA())</f>
        <v>48.42</v>
      </c>
      <c r="M631" s="82">
        <f>IF(M$603,107.25,NA())</f>
        <v>107.25</v>
      </c>
      <c r="N631" s="82">
        <f>IF(N$603,51.37,NA())</f>
        <v>51.37</v>
      </c>
      <c r="O631" s="82">
        <f>IF(O$603,33.27,NA())</f>
        <v>33.270000000000003</v>
      </c>
      <c r="P631" s="82">
        <f>IF(P$603,27.82,NA())</f>
        <v>27.82</v>
      </c>
      <c r="Q631" s="82">
        <f>IF(Q$603,84.66,NA())</f>
        <v>84.66</v>
      </c>
      <c r="R631" s="82">
        <f>IF(R$603,37.4,NA())</f>
        <v>37.4</v>
      </c>
      <c r="S631" s="82">
        <f>IF(S$603,85.05,NA())</f>
        <v>85.05</v>
      </c>
      <c r="T631" s="82">
        <f>IF(T$603,69.97,NA())</f>
        <v>69.97</v>
      </c>
      <c r="U631" s="82">
        <f>IF(U$603,115.58,NA())</f>
        <v>115.58</v>
      </c>
      <c r="V631" s="82">
        <f>IF(V$603,30.71,NA())</f>
        <v>30.71</v>
      </c>
      <c r="W631" s="82">
        <f>IF(W$603,71.56,NA())</f>
        <v>71.56</v>
      </c>
      <c r="X631" s="82">
        <f>IF(X$603,58.28,NA())</f>
        <v>58.28</v>
      </c>
      <c r="Y631" s="82">
        <f>IF(Y$603,42.39,NA())</f>
        <v>42.39</v>
      </c>
      <c r="Z631" s="82">
        <f>IF(Z$603,55.89,NA())</f>
        <v>55.89</v>
      </c>
      <c r="AA631" s="82">
        <f>IF(AA$603,53.06,NA())</f>
        <v>53.06</v>
      </c>
      <c r="AB631" s="82">
        <f>IF(AB$603,28.8,NA())</f>
        <v>28.8</v>
      </c>
      <c r="AC631" s="82">
        <f>IF(AC$603,73.76,NA())</f>
        <v>73.760000000000005</v>
      </c>
      <c r="AD631" s="82" t="e">
        <f>IF(AD$603,61.62,NA())</f>
        <v>#N/A</v>
      </c>
      <c r="AE631" s="82" t="e">
        <f>IF(AE$603,63.51,NA())</f>
        <v>#N/A</v>
      </c>
      <c r="AF631" s="82" t="e">
        <f>IF(AF$603,46.57,NA())</f>
        <v>#N/A</v>
      </c>
      <c r="AG631" s="82" t="e">
        <f>IF(AG$603,41.72,NA())</f>
        <v>#N/A</v>
      </c>
      <c r="AH631" s="82" t="e">
        <f>IF(AH$603,38.59,NA())</f>
        <v>#N/A</v>
      </c>
      <c r="AI631" s="82" t="e">
        <f>IF(AI$603,33.15,NA())</f>
        <v>#N/A</v>
      </c>
      <c r="AJ631" s="82" t="e">
        <f>IF(AJ$603,90.3,NA())</f>
        <v>#N/A</v>
      </c>
      <c r="AK631" s="82" t="e">
        <f>IF(AK$603,68.88,NA())</f>
        <v>#N/A</v>
      </c>
      <c r="AL631" s="82" t="e">
        <f>IF(AL$603,32.02,NA())</f>
        <v>#N/A</v>
      </c>
      <c r="AM631" s="82" t="e">
        <f>IF(AM$603,28.93,NA())</f>
        <v>#N/A</v>
      </c>
      <c r="AN631" s="82" t="e">
        <f>IF(AN$603,72.18,NA())</f>
        <v>#N/A</v>
      </c>
      <c r="AO631" s="82" t="e">
        <f>IF(AO$603,43.14,NA())</f>
        <v>#N/A</v>
      </c>
      <c r="AP631" s="82" t="e">
        <f>IF(AP$603,49.82,NA())</f>
        <v>#N/A</v>
      </c>
      <c r="AQ631" s="82" t="e">
        <f>IF(AQ$603,36.27,NA())</f>
        <v>#N/A</v>
      </c>
      <c r="AR631" s="82" t="e">
        <f>IF(AR$603,35.97,NA())</f>
        <v>#N/A</v>
      </c>
      <c r="AS631" s="82" t="e">
        <f>IF(AS$603,54.24,NA())</f>
        <v>#N/A</v>
      </c>
      <c r="AT631" s="82" t="e">
        <f>IF(AT$603,60.62,NA())</f>
        <v>#N/A</v>
      </c>
      <c r="AU631" s="82" t="e">
        <f>IF(AU$603,26.74,NA())</f>
        <v>#N/A</v>
      </c>
      <c r="AV631" s="82" t="e">
        <f>IF(AV$603,18.73,NA())</f>
        <v>#N/A</v>
      </c>
      <c r="AW631" s="82" t="e">
        <f>IF(AW$603,72.87,NA())</f>
        <v>#N/A</v>
      </c>
      <c r="AX631" s="82" t="e">
        <f>IF(AX$603,32.31,NA())</f>
        <v>#N/A</v>
      </c>
      <c r="AY631" s="82" t="e">
        <f>IF(AY$603,67.92,NA())</f>
        <v>#N/A</v>
      </c>
    </row>
    <row r="632" spans="1:51" x14ac:dyDescent="0.3">
      <c r="A632" s="81" t="s">
        <v>106</v>
      </c>
      <c r="B632" s="82" t="e">
        <f>IF(B$603,150.28,NA())</f>
        <v>#VALUE!</v>
      </c>
      <c r="C632" s="82" t="e">
        <f>IF(C$603,51.98,NA())</f>
        <v>#VALUE!</v>
      </c>
      <c r="D632" s="82">
        <f>IF(D$603,104.04,NA())</f>
        <v>104.04</v>
      </c>
      <c r="E632" s="82" t="e">
        <f>IF(E$603,42.82,NA())</f>
        <v>#N/A</v>
      </c>
      <c r="F632" s="82" t="e">
        <f>IF(F$603,56.64,NA())</f>
        <v>#N/A</v>
      </c>
      <c r="G632" s="82">
        <f>IF(G$603,36.69,NA())</f>
        <v>36.69</v>
      </c>
      <c r="H632" s="82" t="e">
        <f>IF(H$603,63.68,NA())</f>
        <v>#N/A</v>
      </c>
      <c r="I632" s="82">
        <f>IF(I$603,47.69,NA())</f>
        <v>47.69</v>
      </c>
      <c r="J632" s="82" t="e">
        <f>NA()</f>
        <v>#N/A</v>
      </c>
      <c r="K632" s="82">
        <f>IF(K$603,49.13,NA())</f>
        <v>49.13</v>
      </c>
      <c r="L632" s="82">
        <f>IF(L$603,48.7,NA())</f>
        <v>48.7</v>
      </c>
      <c r="M632" s="82">
        <f>IF(M$603,108.35,NA())</f>
        <v>108.35</v>
      </c>
      <c r="N632" s="82">
        <f>IF(N$603,52.12,NA())</f>
        <v>52.12</v>
      </c>
      <c r="O632" s="82">
        <f>IF(O$603,35.59,NA())</f>
        <v>35.590000000000003</v>
      </c>
      <c r="P632" s="82">
        <f>IF(P$603,26.05,NA())</f>
        <v>26.05</v>
      </c>
      <c r="Q632" s="82">
        <f>IF(Q$603,89.37,NA())</f>
        <v>89.37</v>
      </c>
      <c r="R632" s="82">
        <f>IF(R$603,38.25,NA())</f>
        <v>38.25</v>
      </c>
      <c r="S632" s="82">
        <f>IF(S$603,85.64,NA())</f>
        <v>85.64</v>
      </c>
      <c r="T632" s="82">
        <f>IF(T$603,72.05,NA())</f>
        <v>72.05</v>
      </c>
      <c r="U632" s="82">
        <f>IF(U$603,115.58,NA())</f>
        <v>115.58</v>
      </c>
      <c r="V632" s="82">
        <f>IF(V$603,30.71,NA())</f>
        <v>30.71</v>
      </c>
      <c r="W632" s="82">
        <f>IF(W$603,74.02,NA())</f>
        <v>74.02</v>
      </c>
      <c r="X632" s="82">
        <f>IF(X$603,58.71,NA())</f>
        <v>58.71</v>
      </c>
      <c r="Y632" s="82">
        <f>IF(Y$603,39.44,NA())</f>
        <v>39.44</v>
      </c>
      <c r="Z632" s="82">
        <f>IF(Z$603,57.32,NA())</f>
        <v>57.32</v>
      </c>
      <c r="AA632" s="82">
        <f>IF(AA$603,54.42,NA())</f>
        <v>54.42</v>
      </c>
      <c r="AB632" s="82">
        <f>IF(AB$603,28.93,NA())</f>
        <v>28.93</v>
      </c>
      <c r="AC632" s="82">
        <f>IF(AC$603,76.91,NA())</f>
        <v>76.91</v>
      </c>
      <c r="AD632" s="82" t="e">
        <f>IF(AD$603,63.54,NA())</f>
        <v>#N/A</v>
      </c>
      <c r="AE632" s="82" t="e">
        <f>IF(AE$603,64.08,NA())</f>
        <v>#N/A</v>
      </c>
      <c r="AF632" s="82" t="e">
        <f>IF(AF$603,49.31,NA())</f>
        <v>#N/A</v>
      </c>
      <c r="AG632" s="82" t="e">
        <f>IF(AG$603,46.94,NA())</f>
        <v>#N/A</v>
      </c>
      <c r="AH632" s="82" t="e">
        <f>IF(AH$603,37.05,NA())</f>
        <v>#N/A</v>
      </c>
      <c r="AI632" s="82" t="e">
        <f>IF(AI$603,31.64,NA())</f>
        <v>#N/A</v>
      </c>
      <c r="AJ632" s="82" t="e">
        <f>IF(AJ$603,91.59,NA())</f>
        <v>#N/A</v>
      </c>
      <c r="AK632" s="82" t="e">
        <f>IF(AK$603,71.37,NA())</f>
        <v>#N/A</v>
      </c>
      <c r="AL632" s="82" t="e">
        <f>IF(AL$603,32.68,NA())</f>
        <v>#N/A</v>
      </c>
      <c r="AM632" s="82" t="e">
        <f>IF(AM$603,27.56,NA())</f>
        <v>#N/A</v>
      </c>
      <c r="AN632" s="82" t="e">
        <f>IF(AN$603,72.18,NA())</f>
        <v>#N/A</v>
      </c>
      <c r="AO632" s="82" t="e">
        <f>IF(AO$603,43.33,NA())</f>
        <v>#N/A</v>
      </c>
      <c r="AP632" s="82" t="e">
        <f>IF(AP$603,48.78,NA())</f>
        <v>#N/A</v>
      </c>
      <c r="AQ632" s="82" t="e">
        <f>IF(AQ$603,36.27,NA())</f>
        <v>#N/A</v>
      </c>
      <c r="AR632" s="82" t="e">
        <f>IF(AR$603,33.16,NA())</f>
        <v>#N/A</v>
      </c>
      <c r="AS632" s="82" t="e">
        <f>IF(AS$603,53.73,NA())</f>
        <v>#N/A</v>
      </c>
      <c r="AT632" s="82" t="e">
        <f>IF(AT$603,61.28,NA())</f>
        <v>#N/A</v>
      </c>
      <c r="AU632" s="82" t="e">
        <f>IF(AU$603,26.74,NA())</f>
        <v>#N/A</v>
      </c>
      <c r="AV632" s="82" t="e">
        <f>IF(AV$603,19.58,NA())</f>
        <v>#N/A</v>
      </c>
      <c r="AW632" s="82" t="e">
        <f>IF(AW$603,71.87,NA())</f>
        <v>#N/A</v>
      </c>
      <c r="AX632" s="82" t="e">
        <f>IF(AX$603,30.61,NA())</f>
        <v>#N/A</v>
      </c>
      <c r="AY632" s="82" t="e">
        <f>IF(AY$603,73.05,NA())</f>
        <v>#N/A</v>
      </c>
    </row>
    <row r="633" spans="1:51" x14ac:dyDescent="0.3">
      <c r="A633" s="81" t="s">
        <v>107</v>
      </c>
      <c r="B633" s="82" t="e">
        <f>IF(B$603,151.34,NA())</f>
        <v>#VALUE!</v>
      </c>
      <c r="C633" s="82" t="e">
        <f>IF(C$603,51.98,NA())</f>
        <v>#VALUE!</v>
      </c>
      <c r="D633" s="82">
        <f>IF(D$603,107.26,NA())</f>
        <v>107.26</v>
      </c>
      <c r="E633" s="82" t="e">
        <f>IF(E$603,42.47,NA())</f>
        <v>#N/A</v>
      </c>
      <c r="F633" s="82" t="e">
        <f>IF(F$603,57.12,NA())</f>
        <v>#N/A</v>
      </c>
      <c r="G633" s="82">
        <f>IF(G$603,38.49,NA())</f>
        <v>38.49</v>
      </c>
      <c r="H633" s="82" t="e">
        <f>IF(H$603,61.87,NA())</f>
        <v>#N/A</v>
      </c>
      <c r="I633" s="82">
        <f>IF(I$603,47.16,NA())</f>
        <v>47.16</v>
      </c>
      <c r="J633" s="82" t="e">
        <f>NA()</f>
        <v>#N/A</v>
      </c>
      <c r="K633" s="82">
        <f>IF(K$603,49.63,NA())</f>
        <v>49.63</v>
      </c>
      <c r="L633" s="82">
        <f>IF(L$603,48.97,NA())</f>
        <v>48.97</v>
      </c>
      <c r="M633" s="82">
        <f>IF(M$603,109.73,NA())</f>
        <v>109.73</v>
      </c>
      <c r="N633" s="82">
        <f>IF(N$603,52.88,NA())</f>
        <v>52.88</v>
      </c>
      <c r="O633" s="82">
        <f>IF(O$603,35.59,NA())</f>
        <v>35.590000000000003</v>
      </c>
      <c r="P633" s="82">
        <f>IF(P$603,29.14,NA())</f>
        <v>29.14</v>
      </c>
      <c r="Q633" s="82">
        <f>IF(Q$603,93.13,NA())</f>
        <v>93.13</v>
      </c>
      <c r="R633" s="82">
        <f>IF(R$603,37.83,NA())</f>
        <v>37.83</v>
      </c>
      <c r="S633" s="82">
        <f>IF(S$603,88.41,NA())</f>
        <v>88.41</v>
      </c>
      <c r="T633" s="82">
        <f>IF(T$603,72.35,NA())</f>
        <v>72.349999999999994</v>
      </c>
      <c r="U633" s="82">
        <f>IF(U$603,115.58,NA())</f>
        <v>115.58</v>
      </c>
      <c r="V633" s="82">
        <f>IF(V$603,32.46,NA())</f>
        <v>32.46</v>
      </c>
      <c r="W633" s="82">
        <f>IF(W$603,76.08,NA())</f>
        <v>76.08</v>
      </c>
      <c r="X633" s="82">
        <f>IF(X$603,59.8,NA())</f>
        <v>59.8</v>
      </c>
      <c r="Y633" s="82">
        <f>IF(Y$603,37.68,NA())</f>
        <v>37.68</v>
      </c>
      <c r="Z633" s="82">
        <f>IF(Z$603,56.97,NA())</f>
        <v>56.97</v>
      </c>
      <c r="AA633" s="82">
        <f>IF(AA$603,53.06,NA())</f>
        <v>53.06</v>
      </c>
      <c r="AB633" s="82">
        <f>IF(AB$603,29.27,NA())</f>
        <v>29.27</v>
      </c>
      <c r="AC633" s="82">
        <f>IF(AC$603,77.83,NA())</f>
        <v>77.83</v>
      </c>
      <c r="AD633" s="82" t="e">
        <f>IF(AD$603,62.58,NA())</f>
        <v>#N/A</v>
      </c>
      <c r="AE633" s="82" t="e">
        <f>IF(AE$603,63.51,NA())</f>
        <v>#N/A</v>
      </c>
      <c r="AF633" s="82" t="e">
        <f>IF(AF$603,52.05,NA())</f>
        <v>#N/A</v>
      </c>
      <c r="AG633" s="82" t="e">
        <f>IF(AG$603,44.7,NA())</f>
        <v>#N/A</v>
      </c>
      <c r="AH633" s="82" t="e">
        <f>IF(AH$603,33.96,NA())</f>
        <v>#N/A</v>
      </c>
      <c r="AI633" s="82" t="e">
        <f>IF(AI$603,30.89,NA())</f>
        <v>#N/A</v>
      </c>
      <c r="AJ633" s="82" t="e">
        <f>IF(AJ$603,91.16,NA())</f>
        <v>#N/A</v>
      </c>
      <c r="AK633" s="82" t="e">
        <f>IF(AK$603,70.94,NA())</f>
        <v>#N/A</v>
      </c>
      <c r="AL633" s="82" t="e">
        <f>IF(AL$603,33.67,NA())</f>
        <v>#N/A</v>
      </c>
      <c r="AM633" s="82" t="e">
        <f>IF(AM$603,30.31,NA())</f>
        <v>#N/A</v>
      </c>
      <c r="AN633" s="82" t="e">
        <f>IF(AN$603,71.93,NA())</f>
        <v>#N/A</v>
      </c>
      <c r="AO633" s="82" t="e">
        <f>IF(AO$603,43.7,NA())</f>
        <v>#N/A</v>
      </c>
      <c r="AP633" s="82" t="e">
        <f>IF(AP$603,49.3,NA())</f>
        <v>#N/A</v>
      </c>
      <c r="AQ633" s="82" t="e">
        <f>IF(AQ$603,35.88,NA())</f>
        <v>#N/A</v>
      </c>
      <c r="AR633" s="82" t="e">
        <f>IF(AR$603,29.22,NA())</f>
        <v>#N/A</v>
      </c>
      <c r="AS633" s="82" t="e">
        <f>IF(AS$603,53.39,NA())</f>
        <v>#N/A</v>
      </c>
      <c r="AT633" s="82" t="e">
        <f>IF(AT$603,61.72,NA())</f>
        <v>#N/A</v>
      </c>
      <c r="AU633" s="82" t="e">
        <f>IF(AU$603,23.87,NA())</f>
        <v>#N/A</v>
      </c>
      <c r="AV633" s="82" t="e">
        <f>IF(AV$603,18.3,NA())</f>
        <v>#N/A</v>
      </c>
      <c r="AW633" s="82" t="e">
        <f>IF(AW$603,71.87,NA())</f>
        <v>#N/A</v>
      </c>
      <c r="AX633" s="82" t="e">
        <f>IF(AX$603,30.61,NA())</f>
        <v>#N/A</v>
      </c>
      <c r="AY633" s="82" t="e">
        <f>IF(AY$603,77.28,NA())</f>
        <v>#N/A</v>
      </c>
    </row>
    <row r="634" spans="1:51" x14ac:dyDescent="0.3">
      <c r="A634" s="81" t="s">
        <v>108</v>
      </c>
      <c r="B634" s="82" t="e">
        <f>IF(B$603,147.29,NA())</f>
        <v>#VALUE!</v>
      </c>
      <c r="C634" s="82" t="e">
        <f>IF(C$603,48.81,NA())</f>
        <v>#VALUE!</v>
      </c>
      <c r="D634" s="82">
        <f>IF(D$603,104.04,NA())</f>
        <v>104.04</v>
      </c>
      <c r="E634" s="82" t="e">
        <f>IF(E$603,42.13,NA())</f>
        <v>#N/A</v>
      </c>
      <c r="F634" s="82" t="e">
        <f>IF(F$603,54.72,NA())</f>
        <v>#N/A</v>
      </c>
      <c r="G634" s="82">
        <f>IF(G$603,38.67,NA())</f>
        <v>38.67</v>
      </c>
      <c r="H634" s="82" t="e">
        <f>IF(H$603,61.87,NA())</f>
        <v>#N/A</v>
      </c>
      <c r="I634" s="82">
        <f>IF(I$603,46.63,NA())</f>
        <v>46.63</v>
      </c>
      <c r="J634" s="82" t="e">
        <f>NA()</f>
        <v>#N/A</v>
      </c>
      <c r="K634" s="82">
        <f>IF(K$603,48.5,NA())</f>
        <v>48.5</v>
      </c>
      <c r="L634" s="82">
        <f>IF(L$603,48.97,NA())</f>
        <v>48.97</v>
      </c>
      <c r="M634" s="82">
        <f>IF(M$603,107.53,NA())</f>
        <v>107.53</v>
      </c>
      <c r="N634" s="82">
        <f>IF(N$603,52.88,NA())</f>
        <v>52.88</v>
      </c>
      <c r="O634" s="82">
        <f>IF(O$603,33.65,NA())</f>
        <v>33.65</v>
      </c>
      <c r="P634" s="82">
        <f>IF(P$603,29.58,NA())</f>
        <v>29.58</v>
      </c>
      <c r="Q634" s="82">
        <f>IF(Q$603,98.77,NA())</f>
        <v>98.77</v>
      </c>
      <c r="R634" s="82">
        <f>IF(R$603,37.29,NA())</f>
        <v>37.29</v>
      </c>
      <c r="S634" s="82">
        <f>IF(S$603,87.62,NA())</f>
        <v>87.62</v>
      </c>
      <c r="T634" s="82">
        <f>IF(T$603,71.16,NA())</f>
        <v>71.16</v>
      </c>
      <c r="U634" s="82">
        <f>IF(U$603,108.1,NA())</f>
        <v>108.1</v>
      </c>
      <c r="V634" s="82">
        <f>IF(V$603,32.46,NA())</f>
        <v>32.46</v>
      </c>
      <c r="W634" s="82">
        <f>IF(W$603,74.43,NA())</f>
        <v>74.430000000000007</v>
      </c>
      <c r="X634" s="82">
        <f>IF(X$603,59.29,NA())</f>
        <v>59.29</v>
      </c>
      <c r="Y634" s="82">
        <f>IF(Y$603,40.62,NA())</f>
        <v>40.619999999999997</v>
      </c>
      <c r="Z634" s="82">
        <f>IF(Z$603,57.32,NA())</f>
        <v>57.32</v>
      </c>
      <c r="AA634" s="82">
        <f>IF(AA$603,51.02,NA())</f>
        <v>51.02</v>
      </c>
      <c r="AB634" s="82">
        <f>IF(AB$603,29.14,NA())</f>
        <v>29.14</v>
      </c>
      <c r="AC634" s="82">
        <f>IF(AC$603,76.1,NA())</f>
        <v>76.099999999999994</v>
      </c>
      <c r="AD634" s="82" t="e">
        <f>IF(AD$603,66.43,NA())</f>
        <v>#N/A</v>
      </c>
      <c r="AE634" s="82" t="e">
        <f>IF(AE$603,64.51,NA())</f>
        <v>#N/A</v>
      </c>
      <c r="AF634" s="82" t="e">
        <f>IF(AF$603,53.87,NA())</f>
        <v>#N/A</v>
      </c>
      <c r="AG634" s="82" t="e">
        <f>IF(AG$603,46.19,NA())</f>
        <v>#N/A</v>
      </c>
      <c r="AH634" s="82" t="e">
        <f>IF(AH$603,31.9,NA())</f>
        <v>#N/A</v>
      </c>
      <c r="AI634" s="82" t="e">
        <f>IF(AI$603,28.63,NA())</f>
        <v>#N/A</v>
      </c>
      <c r="AJ634" s="82" t="e">
        <f>IF(AJ$603,92.02,NA())</f>
        <v>#N/A</v>
      </c>
      <c r="AK634" s="82" t="e">
        <f>IF(AK$603,70.72,NA())</f>
        <v>#N/A</v>
      </c>
      <c r="AL634" s="82" t="e">
        <f>IF(AL$603,35.98,NA())</f>
        <v>#N/A</v>
      </c>
      <c r="AM634" s="82" t="e">
        <f>IF(AM$603,32.38,NA())</f>
        <v>#N/A</v>
      </c>
      <c r="AN634" s="82" t="e">
        <f>IF(AN$603,71.17,NA())</f>
        <v>#N/A</v>
      </c>
      <c r="AO634" s="82" t="e">
        <f>IF(AO$603,44.25,NA())</f>
        <v>#N/A</v>
      </c>
      <c r="AP634" s="82" t="e">
        <f>IF(AP$603,50.86,NA())</f>
        <v>#N/A</v>
      </c>
      <c r="AQ634" s="82" t="e">
        <f>IF(AQ$603,35.88,NA())</f>
        <v>#N/A</v>
      </c>
      <c r="AR634" s="82" t="e">
        <f>IF(AR$603,32.03,NA())</f>
        <v>#N/A</v>
      </c>
      <c r="AS634" s="82" t="e">
        <f>IF(AS$603,53.05,NA())</f>
        <v>#N/A</v>
      </c>
      <c r="AT634" s="82" t="e">
        <f>IF(AT$603,60.4,NA())</f>
        <v>#N/A</v>
      </c>
      <c r="AU634" s="82" t="e">
        <f>IF(AU$603,22.92,NA())</f>
        <v>#N/A</v>
      </c>
      <c r="AV634" s="82" t="e">
        <f>IF(AV$603,20.43,NA())</f>
        <v>#N/A</v>
      </c>
      <c r="AW634" s="82" t="e">
        <f>IF(AW$603,67.88,NA())</f>
        <v>#N/A</v>
      </c>
      <c r="AX634" s="82" t="e">
        <f>IF(AX$603,28.06,NA())</f>
        <v>#N/A</v>
      </c>
      <c r="AY634" s="82" t="e">
        <f>IF(AY$603,75.77,NA())</f>
        <v>#N/A</v>
      </c>
    </row>
    <row r="635" spans="1:51" x14ac:dyDescent="0.3">
      <c r="A635" s="81" t="s">
        <v>109</v>
      </c>
      <c r="B635" s="82" t="e">
        <f>IF(B$603,144.3,NA())</f>
        <v>#VALUE!</v>
      </c>
      <c r="C635" s="82" t="e">
        <f>IF(C$603,46.91,NA())</f>
        <v>#VALUE!</v>
      </c>
      <c r="D635" s="82">
        <f>IF(D$603,100.11,NA())</f>
        <v>100.11</v>
      </c>
      <c r="E635" s="82" t="e">
        <f>IF(E$603,41.44,NA())</f>
        <v>#N/A</v>
      </c>
      <c r="F635" s="82" t="e">
        <f>IF(F$603,52.8,NA())</f>
        <v>#N/A</v>
      </c>
      <c r="G635" s="82">
        <f>IF(G$603,40.47,NA())</f>
        <v>40.47</v>
      </c>
      <c r="H635" s="82" t="e">
        <f>IF(H$603,61.27,NA())</f>
        <v>#N/A</v>
      </c>
      <c r="I635" s="82">
        <f>IF(I$603,47.16,NA())</f>
        <v>47.16</v>
      </c>
      <c r="J635" s="82" t="e">
        <f>NA()</f>
        <v>#N/A</v>
      </c>
      <c r="K635" s="82">
        <f>IF(K$603,47.74,NA())</f>
        <v>47.74</v>
      </c>
      <c r="L635" s="82">
        <f>IF(L$603,48.28,NA())</f>
        <v>48.28</v>
      </c>
      <c r="M635" s="82">
        <f>IF(M$603,106.15,NA())</f>
        <v>106.15</v>
      </c>
      <c r="N635" s="82">
        <f>IF(N$603,56.66,NA())</f>
        <v>56.66</v>
      </c>
      <c r="O635" s="82">
        <f>IF(O$603,34.43,NA())</f>
        <v>34.43</v>
      </c>
      <c r="P635" s="82">
        <f>IF(P$603,30.47,NA())</f>
        <v>30.47</v>
      </c>
      <c r="Q635" s="82">
        <f>IF(Q$603,103.48,NA())</f>
        <v>103.48</v>
      </c>
      <c r="R635" s="82">
        <f>IF(R$603,35.81,NA())</f>
        <v>35.81</v>
      </c>
      <c r="S635" s="82">
        <f>IF(S$603,87.81,NA())</f>
        <v>87.81</v>
      </c>
      <c r="T635" s="82">
        <f>IF(T$603,69.37,NA())</f>
        <v>69.37</v>
      </c>
      <c r="U635" s="82">
        <f>IF(U$603,105.8,NA())</f>
        <v>105.8</v>
      </c>
      <c r="V635" s="82">
        <f>IF(V$603,34.22,NA())</f>
        <v>34.22</v>
      </c>
      <c r="W635" s="82">
        <f>IF(W$603,71.97,NA())</f>
        <v>71.97</v>
      </c>
      <c r="X635" s="82">
        <f>IF(X$603,60.37,NA())</f>
        <v>60.37</v>
      </c>
      <c r="Y635" s="82">
        <f>IF(Y$603,40.03,NA())</f>
        <v>40.03</v>
      </c>
      <c r="Z635" s="82">
        <f>IF(Z$603,57.68,NA())</f>
        <v>57.68</v>
      </c>
      <c r="AA635" s="82">
        <f>IF(AA$603,52.38,NA())</f>
        <v>52.38</v>
      </c>
      <c r="AB635" s="82">
        <f>IF(AB$603,29.01,NA())</f>
        <v>29.01</v>
      </c>
      <c r="AC635" s="82">
        <f>IF(AC$603,73.86,NA())</f>
        <v>73.86</v>
      </c>
      <c r="AD635" s="82" t="e">
        <f>IF(AD$603,65.47,NA())</f>
        <v>#N/A</v>
      </c>
      <c r="AE635" s="82" t="e">
        <f>IF(AE$603,63.51,NA())</f>
        <v>#N/A</v>
      </c>
      <c r="AF635" s="82" t="e">
        <f>IF(AF$603,50.22,NA())</f>
        <v>#N/A</v>
      </c>
      <c r="AG635" s="82" t="e">
        <f>IF(AG$603,48.43,NA())</f>
        <v>#N/A</v>
      </c>
      <c r="AH635" s="82" t="e">
        <f>IF(AH$603,32.93,NA())</f>
        <v>#N/A</v>
      </c>
      <c r="AI635" s="82" t="e">
        <f>IF(AI$603,31.64,NA())</f>
        <v>#N/A</v>
      </c>
      <c r="AJ635" s="82" t="e">
        <f>IF(AJ$603,98.01,NA())</f>
        <v>#N/A</v>
      </c>
      <c r="AK635" s="82" t="e">
        <f>IF(AK$603,69.64,NA())</f>
        <v>#N/A</v>
      </c>
      <c r="AL635" s="82" t="e">
        <f>IF(AL$603,38.63,NA())</f>
        <v>#N/A</v>
      </c>
      <c r="AM635" s="82" t="e">
        <f>IF(AM$603,31.69,NA())</f>
        <v>#N/A</v>
      </c>
      <c r="AN635" s="82" t="e">
        <f>IF(AN$603,71.42,NA())</f>
        <v>#N/A</v>
      </c>
      <c r="AO635" s="82" t="e">
        <f>IF(AO$603,43.05,NA())</f>
        <v>#N/A</v>
      </c>
      <c r="AP635" s="82" t="e">
        <f>IF(AP$603,51.9,NA())</f>
        <v>#N/A</v>
      </c>
      <c r="AQ635" s="82" t="e">
        <f>IF(AQ$603,36.27,NA())</f>
        <v>#N/A</v>
      </c>
      <c r="AR635" s="82" t="e">
        <f>IF(AR$603,34.28,NA())</f>
        <v>#N/A</v>
      </c>
      <c r="AS635" s="82" t="e">
        <f>IF(AS$603,53.56,NA())</f>
        <v>#N/A</v>
      </c>
      <c r="AT635" s="82" t="e">
        <f>IF(AT$603,58.76,NA())</f>
        <v>#N/A</v>
      </c>
      <c r="AU635" s="82" t="e">
        <f>IF(AU$603,26.74,NA())</f>
        <v>#N/A</v>
      </c>
      <c r="AV635" s="82" t="e">
        <f>IF(AV$603,20.43,NA())</f>
        <v>#N/A</v>
      </c>
      <c r="AW635" s="82" t="e">
        <f>IF(AW$603,68.87,NA())</f>
        <v>#N/A</v>
      </c>
      <c r="AX635" s="82" t="e">
        <f>IF(AX$603,24.66,NA())</f>
        <v>#N/A</v>
      </c>
      <c r="AY635" s="82" t="e">
        <f>IF(AY$603,78.79,NA())</f>
        <v>#N/A</v>
      </c>
    </row>
    <row r="636" spans="1:51" x14ac:dyDescent="0.3">
      <c r="A636" s="81" t="s">
        <v>110</v>
      </c>
      <c r="B636" s="82" t="e">
        <f>IF(B$603,138.84,NA())</f>
        <v>#VALUE!</v>
      </c>
      <c r="C636" s="82" t="e">
        <f>IF(C$603,48.17,NA())</f>
        <v>#VALUE!</v>
      </c>
      <c r="D636" s="82">
        <f>IF(D$603,99.75,NA())</f>
        <v>99.75</v>
      </c>
      <c r="E636" s="82" t="e">
        <f>IF(E$603,41.44,NA())</f>
        <v>#N/A</v>
      </c>
      <c r="F636" s="82" t="e">
        <f>IF(F$603,55.2,NA())</f>
        <v>#N/A</v>
      </c>
      <c r="G636" s="82">
        <f>IF(G$603,41.37,NA())</f>
        <v>41.37</v>
      </c>
      <c r="H636" s="82" t="e">
        <f>IF(H$603,60.78,NA())</f>
        <v>#N/A</v>
      </c>
      <c r="I636" s="82">
        <f>IF(I$603,47.29,NA())</f>
        <v>47.29</v>
      </c>
      <c r="J636" s="82" t="e">
        <f>NA()</f>
        <v>#N/A</v>
      </c>
      <c r="K636" s="82">
        <f>IF(K$603,47.49,NA())</f>
        <v>47.49</v>
      </c>
      <c r="L636" s="82">
        <f>IF(L$603,44.72,NA())</f>
        <v>44.72</v>
      </c>
      <c r="M636" s="82">
        <f>IF(M$603,105.6,NA())</f>
        <v>105.6</v>
      </c>
      <c r="N636" s="82">
        <f>IF(N$603,55.14,NA())</f>
        <v>55.14</v>
      </c>
      <c r="O636" s="82">
        <f>IF(O$603,32.49,NA())</f>
        <v>32.49</v>
      </c>
      <c r="P636" s="82">
        <f>IF(P$603,32.23,NA())</f>
        <v>32.229999999999997</v>
      </c>
      <c r="Q636" s="82">
        <f>IF(Q$603,102.54,NA())</f>
        <v>102.54</v>
      </c>
      <c r="R636" s="82">
        <f>IF(R$603,35.38,NA())</f>
        <v>35.380000000000003</v>
      </c>
      <c r="S636" s="82">
        <f>IF(S$603,89.39,NA())</f>
        <v>89.39</v>
      </c>
      <c r="T636" s="82">
        <f>IF(T$603,67.73,NA())</f>
        <v>67.73</v>
      </c>
      <c r="U636" s="82">
        <f>IF(U$603,105.23,NA())</f>
        <v>105.23</v>
      </c>
      <c r="V636" s="82">
        <f>IF(V$603,35.97,NA())</f>
        <v>35.97</v>
      </c>
      <c r="W636" s="82">
        <f>IF(W$603,70.73,NA())</f>
        <v>70.73</v>
      </c>
      <c r="X636" s="82">
        <f>IF(X$603,60.3,NA())</f>
        <v>60.3</v>
      </c>
      <c r="Y636" s="82">
        <f>IF(Y$603,38.27,NA())</f>
        <v>38.270000000000003</v>
      </c>
      <c r="Z636" s="82">
        <f>IF(Z$603,59.47,NA())</f>
        <v>59.47</v>
      </c>
      <c r="AA636" s="82">
        <f>IF(AA$603,51.7,NA())</f>
        <v>51.7</v>
      </c>
      <c r="AB636" s="82">
        <f>IF(AB$603,29.01,NA())</f>
        <v>29.01</v>
      </c>
      <c r="AC636" s="82">
        <f>IF(AC$603,73.14,NA())</f>
        <v>73.14</v>
      </c>
      <c r="AD636" s="82" t="e">
        <f>IF(AD$603,66.43,NA())</f>
        <v>#N/A</v>
      </c>
      <c r="AE636" s="82" t="e">
        <f>IF(AE$603,63.94,NA())</f>
        <v>#N/A</v>
      </c>
      <c r="AF636" s="82" t="e">
        <f>IF(AF$603,45.66,NA())</f>
        <v>#N/A</v>
      </c>
      <c r="AG636" s="82" t="e">
        <f>IF(AG$603,50.66,NA())</f>
        <v>#N/A</v>
      </c>
      <c r="AH636" s="82" t="e">
        <f>IF(AH$603,32.42,NA())</f>
        <v>#N/A</v>
      </c>
      <c r="AI636" s="82" t="e">
        <f>IF(AI$603,30.14,NA())</f>
        <v>#N/A</v>
      </c>
      <c r="AJ636" s="82" t="e">
        <f>IF(AJ$603,99.72,NA())</f>
        <v>#N/A</v>
      </c>
      <c r="AK636" s="82" t="e">
        <f>IF(AK$603,70.94,NA())</f>
        <v>#N/A</v>
      </c>
      <c r="AL636" s="82" t="e">
        <f>IF(AL$603,39.62,NA())</f>
        <v>#N/A</v>
      </c>
      <c r="AM636" s="82" t="e">
        <f>IF(AM$603,33.07,NA())</f>
        <v>#N/A</v>
      </c>
      <c r="AN636" s="82" t="e">
        <f>IF(AN$603,70.04,NA())</f>
        <v>#N/A</v>
      </c>
      <c r="AO636" s="82" t="e">
        <f>IF(AO$603,42.03,NA())</f>
        <v>#N/A</v>
      </c>
      <c r="AP636" s="82" t="e">
        <f>IF(AP$603,54.49,NA())</f>
        <v>#N/A</v>
      </c>
      <c r="AQ636" s="82" t="e">
        <f>IF(AQ$603,37.06,NA())</f>
        <v>#N/A</v>
      </c>
      <c r="AR636" s="82" t="e">
        <f>IF(AR$603,34.84,NA())</f>
        <v>#N/A</v>
      </c>
      <c r="AS636" s="82" t="e">
        <f>IF(AS$603,54.07,NA())</f>
        <v>#N/A</v>
      </c>
      <c r="AT636" s="82" t="e">
        <f>IF(AT$603,59.42,NA())</f>
        <v>#N/A</v>
      </c>
      <c r="AU636" s="82" t="e">
        <f>IF(AU$603,28.65,NA())</f>
        <v>#N/A</v>
      </c>
      <c r="AV636" s="82" t="e">
        <f>IF(AV$603,20,NA())</f>
        <v>#N/A</v>
      </c>
      <c r="AW636" s="82" t="e">
        <f>IF(AW$603,63.88,NA())</f>
        <v>#N/A</v>
      </c>
      <c r="AX636" s="82" t="e">
        <f>IF(AX$603,28.91,NA())</f>
        <v>#N/A</v>
      </c>
      <c r="AY636" s="82" t="e">
        <f>IF(AY$603,79.39,NA())</f>
        <v>#N/A</v>
      </c>
    </row>
    <row r="637" spans="1:51" x14ac:dyDescent="0.3">
      <c r="A637" s="81" t="s">
        <v>111</v>
      </c>
      <c r="B637" s="82" t="e">
        <f>IF(B$603,134.97,NA())</f>
        <v>#VALUE!</v>
      </c>
      <c r="C637" s="82" t="e">
        <f>IF(C$603,46.27,NA())</f>
        <v>#VALUE!</v>
      </c>
      <c r="D637" s="82">
        <f>IF(D$603,103.33,NA())</f>
        <v>103.33</v>
      </c>
      <c r="E637" s="82" t="e">
        <f>IF(E$603,42.13,NA())</f>
        <v>#N/A</v>
      </c>
      <c r="F637" s="82" t="e">
        <f>IF(F$603,55.2,NA())</f>
        <v>#N/A</v>
      </c>
      <c r="G637" s="82">
        <f>IF(G$603,40.11,NA())</f>
        <v>40.11</v>
      </c>
      <c r="H637" s="82" t="e">
        <f>IF(H$603,59.21,NA())</f>
        <v>#N/A</v>
      </c>
      <c r="I637" s="82">
        <f>IF(I$603,45.7,NA())</f>
        <v>45.7</v>
      </c>
      <c r="J637" s="82" t="e">
        <f>NA()</f>
        <v>#N/A</v>
      </c>
      <c r="K637" s="82">
        <f>IF(K$603,47.62,NA())</f>
        <v>47.62</v>
      </c>
      <c r="L637" s="82">
        <f>IF(L$603,43.35,NA())</f>
        <v>43.35</v>
      </c>
      <c r="M637" s="82">
        <f>IF(M$603,103.12,NA())</f>
        <v>103.12</v>
      </c>
      <c r="N637" s="82">
        <f>IF(N$603,58.92,NA())</f>
        <v>58.92</v>
      </c>
      <c r="O637" s="82">
        <f>IF(O$603,31.72,NA())</f>
        <v>31.72</v>
      </c>
      <c r="P637" s="82">
        <f>IF(P$603,33.56,NA())</f>
        <v>33.56</v>
      </c>
      <c r="Q637" s="82">
        <f>IF(Q$603,94.07,NA())</f>
        <v>94.07</v>
      </c>
      <c r="R637" s="82">
        <f>IF(R$603,35.59,NA())</f>
        <v>35.590000000000003</v>
      </c>
      <c r="S637" s="82">
        <f>IF(S$603,91.56,NA())</f>
        <v>91.56</v>
      </c>
      <c r="T637" s="82">
        <f>IF(T$603,63.86,NA())</f>
        <v>63.86</v>
      </c>
      <c r="U637" s="82">
        <f>IF(U$603,108.1,NA())</f>
        <v>108.1</v>
      </c>
      <c r="V637" s="82">
        <f>IF(V$603,36.85,NA())</f>
        <v>36.85</v>
      </c>
      <c r="W637" s="82">
        <f>IF(W$603,71.69,NA())</f>
        <v>71.69</v>
      </c>
      <c r="X637" s="82">
        <f>IF(X$603,61.89,NA())</f>
        <v>61.89</v>
      </c>
      <c r="Y637" s="82">
        <f>IF(Y$603,40.62,NA())</f>
        <v>40.619999999999997</v>
      </c>
      <c r="Z637" s="82">
        <f>IF(Z$603,61.27,NA())</f>
        <v>61.27</v>
      </c>
      <c r="AA637" s="82">
        <f>IF(AA$603,54.42,NA())</f>
        <v>54.42</v>
      </c>
      <c r="AB637" s="82">
        <f>IF(AB$603,29.66,NA())</f>
        <v>29.66</v>
      </c>
      <c r="AC637" s="82">
        <f>IF(AC$603,75.28,NA())</f>
        <v>75.28</v>
      </c>
      <c r="AD637" s="82" t="e">
        <f>IF(AD$603,66.43,NA())</f>
        <v>#N/A</v>
      </c>
      <c r="AE637" s="82" t="e">
        <f>IF(AE$603,63.37,NA())</f>
        <v>#N/A</v>
      </c>
      <c r="AF637" s="82" t="e">
        <f>IF(AF$603,43.83,NA())</f>
        <v>#N/A</v>
      </c>
      <c r="AG637" s="82" t="e">
        <f>IF(AG$603,52.15,NA())</f>
        <v>#N/A</v>
      </c>
      <c r="AH637" s="82" t="e">
        <f>IF(AH$603,31.9,NA())</f>
        <v>#N/A</v>
      </c>
      <c r="AI637" s="82" t="e">
        <f>IF(AI$603,27.87,NA())</f>
        <v>#N/A</v>
      </c>
      <c r="AJ637" s="82" t="e">
        <f>IF(AJ$603,97.58,NA())</f>
        <v>#N/A</v>
      </c>
      <c r="AK637" s="82" t="e">
        <f>IF(AK$603,72.02,NA())</f>
        <v>#N/A</v>
      </c>
      <c r="AL637" s="82" t="e">
        <f>IF(AL$603,41.27,NA())</f>
        <v>#N/A</v>
      </c>
      <c r="AM637" s="82" t="e">
        <f>IF(AM$603,31.69,NA())</f>
        <v>#N/A</v>
      </c>
      <c r="AN637" s="82" t="e">
        <f>IF(AN$603,72.05,NA())</f>
        <v>#N/A</v>
      </c>
      <c r="AO637" s="82" t="e">
        <f>IF(AO$603,41.94,NA())</f>
        <v>#N/A</v>
      </c>
      <c r="AP637" s="82" t="e">
        <f>IF(AP$603,56.05,NA())</f>
        <v>#N/A</v>
      </c>
      <c r="AQ637" s="82" t="e">
        <f>IF(AQ$603,39.23,NA())</f>
        <v>#N/A</v>
      </c>
      <c r="AR637" s="82" t="e">
        <f>IF(AR$603,35.4,NA())</f>
        <v>#N/A</v>
      </c>
      <c r="AS637" s="82" t="e">
        <f>IF(AS$603,55.26,NA())</f>
        <v>#N/A</v>
      </c>
      <c r="AT637" s="82" t="e">
        <f>IF(AT$603,60.73,NA())</f>
        <v>#N/A</v>
      </c>
      <c r="AU637" s="82" t="e">
        <f>IF(AU$603,27.69,NA())</f>
        <v>#N/A</v>
      </c>
      <c r="AV637" s="82" t="e">
        <f>IF(AV$603,22.13,NA())</f>
        <v>#N/A</v>
      </c>
      <c r="AW637" s="82" t="e">
        <f>IF(AW$603,60.89,NA())</f>
        <v>#N/A</v>
      </c>
      <c r="AX637" s="82" t="e">
        <f>IF(AX$603,26.36,NA())</f>
        <v>#N/A</v>
      </c>
      <c r="AY637" s="82" t="e">
        <f>IF(AY$603,76.37,NA())</f>
        <v>#N/A</v>
      </c>
    </row>
    <row r="638" spans="1:51" x14ac:dyDescent="0.3">
      <c r="A638" s="81" t="s">
        <v>112</v>
      </c>
      <c r="B638" s="82" t="e">
        <f>IF(B$603,135.67,NA())</f>
        <v>#VALUE!</v>
      </c>
      <c r="C638" s="82" t="e">
        <f>IF(C$603,48.17,NA())</f>
        <v>#VALUE!</v>
      </c>
      <c r="D638" s="82">
        <f>IF(D$603,105.83,NA())</f>
        <v>105.83</v>
      </c>
      <c r="E638" s="82" t="e">
        <f>IF(E$603,40.4,NA())</f>
        <v>#N/A</v>
      </c>
      <c r="F638" s="82" t="e">
        <f>IF(F$603,52.8,NA())</f>
        <v>#N/A</v>
      </c>
      <c r="G638" s="82">
        <f>IF(G$603,39.39,NA())</f>
        <v>39.39</v>
      </c>
      <c r="H638" s="82" t="e">
        <f>IF(H$603,58.97,NA())</f>
        <v>#N/A</v>
      </c>
      <c r="I638" s="82">
        <f>IF(I$603,46.1,NA())</f>
        <v>46.1</v>
      </c>
      <c r="J638" s="82" t="e">
        <f>NA()</f>
        <v>#N/A</v>
      </c>
      <c r="K638" s="82">
        <f>IF(K$603,49.25,NA())</f>
        <v>49.25</v>
      </c>
      <c r="L638" s="82">
        <f>IF(L$603,39.92,NA())</f>
        <v>39.92</v>
      </c>
      <c r="M638" s="82">
        <f>IF(M$603,100.91,NA())</f>
        <v>100.91</v>
      </c>
      <c r="N638" s="82">
        <f>IF(N$603,63.45,NA())</f>
        <v>63.45</v>
      </c>
      <c r="O638" s="82">
        <f>IF(O$603,29.01,NA())</f>
        <v>29.01</v>
      </c>
      <c r="P638" s="82">
        <f>IF(P$603,33.56,NA())</f>
        <v>33.56</v>
      </c>
      <c r="Q638" s="82">
        <f>IF(Q$603,89.37,NA())</f>
        <v>89.37</v>
      </c>
      <c r="R638" s="82">
        <f>IF(R$603,33.36,NA())</f>
        <v>33.36</v>
      </c>
      <c r="S638" s="82">
        <f>IF(S$603,90.77,NA())</f>
        <v>90.77</v>
      </c>
      <c r="T638" s="82">
        <f>IF(T$603,61.18,NA())</f>
        <v>61.18</v>
      </c>
      <c r="U638" s="82">
        <f>IF(U$603,101.78,NA())</f>
        <v>101.78</v>
      </c>
      <c r="V638" s="82">
        <f>IF(V$603,35.97,NA())</f>
        <v>35.97</v>
      </c>
      <c r="W638" s="82">
        <f>IF(W$603,69.77,NA())</f>
        <v>69.77</v>
      </c>
      <c r="X638" s="82">
        <f>IF(X$603,62.47,NA())</f>
        <v>62.47</v>
      </c>
      <c r="Y638" s="82">
        <f>IF(Y$603,43.56,NA())</f>
        <v>43.56</v>
      </c>
      <c r="Z638" s="82">
        <f>IF(Z$603,62.7,NA())</f>
        <v>62.7</v>
      </c>
      <c r="AA638" s="82">
        <f>IF(AA$603,51.7,NA())</f>
        <v>51.7</v>
      </c>
      <c r="AB638" s="82">
        <f>IF(AB$603,32.13,NA())</f>
        <v>32.130000000000003</v>
      </c>
      <c r="AC638" s="82">
        <f>IF(AC$603,74.26,NA())</f>
        <v>74.260000000000005</v>
      </c>
      <c r="AD638" s="82" t="e">
        <f>IF(AD$603,69.32,NA())</f>
        <v>#N/A</v>
      </c>
      <c r="AE638" s="82" t="e">
        <f>IF(AE$603,64.36,NA())</f>
        <v>#N/A</v>
      </c>
      <c r="AF638" s="82" t="e">
        <f>IF(AF$603,40.18,NA())</f>
        <v>#N/A</v>
      </c>
      <c r="AG638" s="82" t="e">
        <f>IF(AG$603,52.9,NA())</f>
        <v>#N/A</v>
      </c>
      <c r="AH638" s="82" t="e">
        <f>IF(AH$603,30.87,NA())</f>
        <v>#N/A</v>
      </c>
      <c r="AI638" s="82" t="e">
        <f>IF(AI$603,28.63,NA())</f>
        <v>#N/A</v>
      </c>
      <c r="AJ638" s="82" t="e">
        <f>IF(AJ$603,99.29,NA())</f>
        <v>#N/A</v>
      </c>
      <c r="AK638" s="82" t="e">
        <f>IF(AK$603,72.45,NA())</f>
        <v>#N/A</v>
      </c>
      <c r="AL638" s="82" t="e">
        <f>IF(AL$603,44.9,NA())</f>
        <v>#N/A</v>
      </c>
      <c r="AM638" s="82" t="e">
        <f>IF(AM$603,31.69,NA())</f>
        <v>#N/A</v>
      </c>
      <c r="AN638" s="82" t="e">
        <f>IF(AN$603,70.16,NA())</f>
        <v>#N/A</v>
      </c>
      <c r="AO638" s="82" t="e">
        <f>IF(AO$603,42.59,NA())</f>
        <v>#N/A</v>
      </c>
      <c r="AP638" s="82" t="e">
        <f>IF(AP$603,55.53,NA())</f>
        <v>#N/A</v>
      </c>
      <c r="AQ638" s="82" t="e">
        <f>IF(AQ$603,37.85,NA())</f>
        <v>#N/A</v>
      </c>
      <c r="AR638" s="82" t="e">
        <f>IF(AR$603,36.53,NA())</f>
        <v>#N/A</v>
      </c>
      <c r="AS638" s="82" t="e">
        <f>IF(AS$603,55.43,NA())</f>
        <v>#N/A</v>
      </c>
      <c r="AT638" s="82" t="e">
        <f>IF(AT$603,60.18,NA())</f>
        <v>#N/A</v>
      </c>
      <c r="AU638" s="82" t="e">
        <f>IF(AU$603,29.6,NA())</f>
        <v>#N/A</v>
      </c>
      <c r="AV638" s="82" t="e">
        <f>IF(AV$603,22.98,NA())</f>
        <v>#N/A</v>
      </c>
      <c r="AW638" s="82" t="e">
        <f>IF(AW$603,65.88,NA())</f>
        <v>#N/A</v>
      </c>
      <c r="AX638" s="82" t="e">
        <f>IF(AX$603,25.51,NA())</f>
        <v>#N/A</v>
      </c>
      <c r="AY638" s="82" t="e">
        <f>IF(AY$603,75.47,NA())</f>
        <v>#N/A</v>
      </c>
    </row>
    <row r="639" spans="1:51" x14ac:dyDescent="0.3">
      <c r="A639" s="81" t="s">
        <v>113</v>
      </c>
      <c r="B639" s="82" t="e">
        <f>IF(B$603,132.86,NA())</f>
        <v>#VALUE!</v>
      </c>
      <c r="C639" s="82" t="e">
        <f>IF(C$603,51.98,NA())</f>
        <v>#VALUE!</v>
      </c>
      <c r="D639" s="82">
        <f>IF(D$603,110.12,NA())</f>
        <v>110.12</v>
      </c>
      <c r="E639" s="82" t="e">
        <f>IF(E$603,40.4,NA())</f>
        <v>#N/A</v>
      </c>
      <c r="F639" s="82" t="e">
        <f>IF(F$603,54.72,NA())</f>
        <v>#N/A</v>
      </c>
      <c r="G639" s="82">
        <f>IF(G$603,38.31,NA())</f>
        <v>38.31</v>
      </c>
      <c r="H639" s="82" t="e">
        <f>IF(H$603,58.13,NA())</f>
        <v>#N/A</v>
      </c>
      <c r="I639" s="82">
        <f>IF(I$603,45.17,NA())</f>
        <v>45.17</v>
      </c>
      <c r="J639" s="82" t="e">
        <f>NA()</f>
        <v>#N/A</v>
      </c>
      <c r="K639" s="82">
        <f>IF(K$603,48.75,NA())</f>
        <v>48.75</v>
      </c>
      <c r="L639" s="82">
        <f>IF(L$603,39.64,NA())</f>
        <v>39.64</v>
      </c>
      <c r="M639" s="82">
        <f>IF(M$603,98.43,NA())</f>
        <v>98.43</v>
      </c>
      <c r="N639" s="82">
        <f>IF(N$603,64.21,NA())</f>
        <v>64.209999999999994</v>
      </c>
      <c r="O639" s="82">
        <f>IF(O$603,27.08,NA())</f>
        <v>27.08</v>
      </c>
      <c r="P639" s="82">
        <f>IF(P$603,34,NA())</f>
        <v>34</v>
      </c>
      <c r="Q639" s="82">
        <f>IF(Q$603,91.25,NA())</f>
        <v>91.25</v>
      </c>
      <c r="R639" s="82">
        <f>IF(R$603,32.41,NA())</f>
        <v>32.409999999999997</v>
      </c>
      <c r="S639" s="82">
        <f>IF(S$603,93.34,NA())</f>
        <v>93.34</v>
      </c>
      <c r="T639" s="82">
        <f>IF(T$603,60.29,NA())</f>
        <v>60.29</v>
      </c>
      <c r="U639" s="82">
        <f>IF(U$603,100.63,NA())</f>
        <v>100.63</v>
      </c>
      <c r="V639" s="82">
        <f>IF(V$603,35.97,NA())</f>
        <v>35.97</v>
      </c>
      <c r="W639" s="82">
        <f>IF(W$603,69.91,NA())</f>
        <v>69.91</v>
      </c>
      <c r="X639" s="82">
        <f>IF(X$603,63.41,NA())</f>
        <v>63.41</v>
      </c>
      <c r="Y639" s="82">
        <f>IF(Y$603,45.92,NA())</f>
        <v>45.92</v>
      </c>
      <c r="Z639" s="82">
        <f>IF(Z$603,65.21,NA())</f>
        <v>65.209999999999994</v>
      </c>
      <c r="AA639" s="82">
        <f>IF(AA$603,51.7,NA())</f>
        <v>51.7</v>
      </c>
      <c r="AB639" s="82">
        <f>IF(AB$603,33.16,NA())</f>
        <v>33.159999999999997</v>
      </c>
      <c r="AC639" s="82">
        <f>IF(AC$603,72.53,NA())</f>
        <v>72.53</v>
      </c>
      <c r="AD639" s="82" t="e">
        <f>IF(AD$603,71.25,NA())</f>
        <v>#N/A</v>
      </c>
      <c r="AE639" s="82" t="e">
        <f>IF(AE$603,62.66,NA())</f>
        <v>#N/A</v>
      </c>
      <c r="AF639" s="82" t="e">
        <f>IF(AF$603,39.26,NA())</f>
        <v>#N/A</v>
      </c>
      <c r="AG639" s="82" t="e">
        <f>IF(AG$603,52.9,NA())</f>
        <v>#N/A</v>
      </c>
      <c r="AH639" s="82" t="e">
        <f>IF(AH$603,32.93,NA())</f>
        <v>#N/A</v>
      </c>
      <c r="AI639" s="82" t="e">
        <f>IF(AI$603,27.12,NA())</f>
        <v>#N/A</v>
      </c>
      <c r="AJ639" s="82" t="e">
        <f>IF(AJ$603,101.43,NA())</f>
        <v>#N/A</v>
      </c>
      <c r="AK639" s="82" t="e">
        <f>IF(AK$603,71.16,NA())</f>
        <v>#N/A</v>
      </c>
      <c r="AL639" s="82" t="e">
        <f>IF(AL$603,42.92,NA())</f>
        <v>#N/A</v>
      </c>
      <c r="AM639" s="82" t="e">
        <f>IF(AM$603,31.69,NA())</f>
        <v>#N/A</v>
      </c>
      <c r="AN639" s="82" t="e">
        <f>IF(AN$603,68.9,NA())</f>
        <v>#N/A</v>
      </c>
      <c r="AO639" s="82" t="e">
        <f>IF(AO$603,42.96,NA())</f>
        <v>#N/A</v>
      </c>
      <c r="AP639" s="82" t="e">
        <f>IF(AP$603,59.68,NA())</f>
        <v>#N/A</v>
      </c>
      <c r="AQ639" s="82" t="e">
        <f>IF(AQ$603,40.02,NA())</f>
        <v>#N/A</v>
      </c>
      <c r="AR639" s="82" t="e">
        <f>IF(AR$603,35.97,NA())</f>
        <v>#N/A</v>
      </c>
      <c r="AS639" s="82" t="e">
        <f>IF(AS$603,55.26,NA())</f>
        <v>#N/A</v>
      </c>
      <c r="AT639" s="82" t="e">
        <f>IF(AT$603,60.51,NA())</f>
        <v>#N/A</v>
      </c>
      <c r="AU639" s="82" t="e">
        <f>IF(AU$603,30.56,NA())</f>
        <v>#N/A</v>
      </c>
      <c r="AV639" s="82" t="e">
        <f>IF(AV$603,23.83,NA())</f>
        <v>#N/A</v>
      </c>
      <c r="AW639" s="82" t="e">
        <f>IF(AW$603,63.88,NA())</f>
        <v>#N/A</v>
      </c>
      <c r="AX639" s="82" t="e">
        <f>IF(AX$603,22.11,NA())</f>
        <v>#N/A</v>
      </c>
      <c r="AY639" s="82" t="e">
        <f>IF(AY$603,78.79,NA())</f>
        <v>#N/A</v>
      </c>
    </row>
    <row r="640" spans="1:51" x14ac:dyDescent="0.3">
      <c r="A640" s="81" t="s">
        <v>114</v>
      </c>
      <c r="B640" s="82" t="e">
        <f>IF(B$603,133.21,NA())</f>
        <v>#VALUE!</v>
      </c>
      <c r="C640" s="82" t="e">
        <f>IF(C$603,50.71,NA())</f>
        <v>#VALUE!</v>
      </c>
      <c r="D640" s="82">
        <f>IF(D$603,111.19,NA())</f>
        <v>111.19</v>
      </c>
      <c r="E640" s="82" t="e">
        <f>IF(E$603,39.71,NA())</f>
        <v>#N/A</v>
      </c>
      <c r="F640" s="82" t="e">
        <f>IF(F$603,56.64,NA())</f>
        <v>#N/A</v>
      </c>
      <c r="G640" s="82">
        <f>IF(G$603,38.49,NA())</f>
        <v>38.49</v>
      </c>
      <c r="H640" s="82" t="e">
        <f>IF(H$603,56.55,NA())</f>
        <v>#N/A</v>
      </c>
      <c r="I640" s="82">
        <f>IF(I$603,44.9,NA())</f>
        <v>44.9</v>
      </c>
      <c r="J640" s="82" t="e">
        <f>NA()</f>
        <v>#N/A</v>
      </c>
      <c r="K640" s="82">
        <f>IF(K$603,48.88,NA())</f>
        <v>48.88</v>
      </c>
      <c r="L640" s="82">
        <f>IF(L$603,40.19,NA())</f>
        <v>40.19</v>
      </c>
      <c r="M640" s="82">
        <f>IF(M$603,98.43,NA())</f>
        <v>98.43</v>
      </c>
      <c r="N640" s="82">
        <f>IF(N$603,62.7,NA())</f>
        <v>62.7</v>
      </c>
      <c r="O640" s="82">
        <f>IF(O$603,28.62,NA())</f>
        <v>28.62</v>
      </c>
      <c r="P640" s="82">
        <f>IF(P$603,35.32,NA())</f>
        <v>35.32</v>
      </c>
      <c r="Q640" s="82">
        <f>IF(Q$603,92.19,NA())</f>
        <v>92.19</v>
      </c>
      <c r="R640" s="82">
        <f>IF(R$603,33.89,NA())</f>
        <v>33.89</v>
      </c>
      <c r="S640" s="82">
        <f>IF(S$603,91.37,NA())</f>
        <v>91.37</v>
      </c>
      <c r="T640" s="82">
        <f>IF(T$603,62.08,NA())</f>
        <v>62.08</v>
      </c>
      <c r="U640" s="82">
        <f>IF(U$603,105.23,NA())</f>
        <v>105.23</v>
      </c>
      <c r="V640" s="82">
        <f>IF(V$603,34.22,NA())</f>
        <v>34.22</v>
      </c>
      <c r="W640" s="82">
        <f>IF(W$603,69.36,NA())</f>
        <v>69.36</v>
      </c>
      <c r="X640" s="82">
        <f>IF(X$603,62.54,NA())</f>
        <v>62.54</v>
      </c>
      <c r="Y640" s="82">
        <f>IF(Y$603,49.45,NA())</f>
        <v>49.45</v>
      </c>
      <c r="Z640" s="82">
        <f>IF(Z$603,64.13,NA())</f>
        <v>64.13</v>
      </c>
      <c r="AA640" s="82">
        <f>IF(AA$603,47.62,NA())</f>
        <v>47.62</v>
      </c>
      <c r="AB640" s="82">
        <f>IF(AB$603,34.4,NA())</f>
        <v>34.4</v>
      </c>
      <c r="AC640" s="82">
        <f>IF(AC$603,73.25,NA())</f>
        <v>73.25</v>
      </c>
      <c r="AD640" s="82" t="e">
        <f>IF(AD$603,70.28,NA())</f>
        <v>#N/A</v>
      </c>
      <c r="AE640" s="82" t="e">
        <f>IF(AE$603,65.22,NA())</f>
        <v>#N/A</v>
      </c>
      <c r="AF640" s="82" t="e">
        <f>IF(AF$603,43.83,NA())</f>
        <v>#N/A</v>
      </c>
      <c r="AG640" s="82" t="e">
        <f>IF(AG$603,56.62,NA())</f>
        <v>#N/A</v>
      </c>
      <c r="AH640" s="82" t="e">
        <f>IF(AH$603,33.96,NA())</f>
        <v>#N/A</v>
      </c>
      <c r="AI640" s="82" t="e">
        <f>IF(AI$603,28.63,NA())</f>
        <v>#N/A</v>
      </c>
      <c r="AJ640" s="82" t="e">
        <f>IF(AJ$603,99.29,NA())</f>
        <v>#N/A</v>
      </c>
      <c r="AK640" s="82" t="e">
        <f>IF(AK$603,71.26,NA())</f>
        <v>#N/A</v>
      </c>
      <c r="AL640" s="82" t="e">
        <f>IF(AL$603,41.93,NA())</f>
        <v>#N/A</v>
      </c>
      <c r="AM640" s="82" t="e">
        <f>IF(AM$603,28.93,NA())</f>
        <v>#N/A</v>
      </c>
      <c r="AN640" s="82" t="e">
        <f>IF(AN$603,67.64,NA())</f>
        <v>#N/A</v>
      </c>
      <c r="AO640" s="82" t="e">
        <f>IF(AO$603,42.4,NA())</f>
        <v>#N/A</v>
      </c>
      <c r="AP640" s="82" t="e">
        <f>IF(AP$603,55.01,NA())</f>
        <v>#N/A</v>
      </c>
      <c r="AQ640" s="82" t="e">
        <f>IF(AQ$603,41.79,NA())</f>
        <v>#N/A</v>
      </c>
      <c r="AR640" s="82" t="e">
        <f>IF(AR$603,36.53,NA())</f>
        <v>#N/A</v>
      </c>
      <c r="AS640" s="82" t="e">
        <f>IF(AS$603,55.26,NA())</f>
        <v>#N/A</v>
      </c>
      <c r="AT640" s="82" t="e">
        <f>IF(AT$603,62.38,NA())</f>
        <v>#N/A</v>
      </c>
      <c r="AU640" s="82" t="e">
        <f>IF(AU$603,34.38,NA())</f>
        <v>#N/A</v>
      </c>
      <c r="AV640" s="82" t="e">
        <f>IF(AV$603,26.81,NA())</f>
        <v>#N/A</v>
      </c>
      <c r="AW640" s="82" t="e">
        <f>IF(AW$603,63.88,NA())</f>
        <v>#N/A</v>
      </c>
      <c r="AX640" s="82" t="e">
        <f>IF(AX$603,21.26,NA())</f>
        <v>#N/A</v>
      </c>
      <c r="AY640" s="82" t="e">
        <f>IF(AY$603,77.88,NA())</f>
        <v>#N/A</v>
      </c>
    </row>
    <row r="641" spans="1:51" x14ac:dyDescent="0.3">
      <c r="A641" s="81" t="s">
        <v>115</v>
      </c>
      <c r="B641" s="82" t="e">
        <f>IF(B$603,138.14,NA())</f>
        <v>#VALUE!</v>
      </c>
      <c r="C641" s="82" t="e">
        <f>IF(C$603,50.71,NA())</f>
        <v>#VALUE!</v>
      </c>
      <c r="D641" s="82">
        <f>IF(D$603,110.84,NA())</f>
        <v>110.84</v>
      </c>
      <c r="E641" s="82" t="e">
        <f>IF(E$603,40.06,NA())</f>
        <v>#N/A</v>
      </c>
      <c r="F641" s="82" t="e">
        <f>IF(F$603,55.2,NA())</f>
        <v>#N/A</v>
      </c>
      <c r="G641" s="82">
        <f>IF(G$603,38.49,NA())</f>
        <v>38.49</v>
      </c>
      <c r="H641" s="82" t="e">
        <f>IF(H$603,55.71,NA())</f>
        <v>#N/A</v>
      </c>
      <c r="I641" s="82">
        <f>IF(I$603,47.42,NA())</f>
        <v>47.42</v>
      </c>
      <c r="J641" s="82" t="e">
        <f>NA()</f>
        <v>#N/A</v>
      </c>
      <c r="K641" s="82">
        <f>IF(K$603,50.89,NA())</f>
        <v>50.89</v>
      </c>
      <c r="L641" s="82">
        <f>IF(L$603,40.74,NA())</f>
        <v>40.74</v>
      </c>
      <c r="M641" s="82">
        <f>IF(M$603,97.05,NA())</f>
        <v>97.05</v>
      </c>
      <c r="N641" s="82">
        <f>IF(N$603,64.21,NA())</f>
        <v>64.209999999999994</v>
      </c>
      <c r="O641" s="82">
        <f>IF(O$603,28.62,NA())</f>
        <v>28.62</v>
      </c>
      <c r="P641" s="82">
        <f>IF(P$603,35.76,NA())</f>
        <v>35.76</v>
      </c>
      <c r="Q641" s="82">
        <f>IF(Q$603,93.13,NA())</f>
        <v>93.13</v>
      </c>
      <c r="R641" s="82">
        <f>IF(R$603,34.74,NA())</f>
        <v>34.74</v>
      </c>
      <c r="S641" s="82">
        <f>IF(S$603,90.77,NA())</f>
        <v>90.77</v>
      </c>
      <c r="T641" s="82">
        <f>IF(T$603,64.16,NA())</f>
        <v>64.16</v>
      </c>
      <c r="U641" s="82">
        <f>IF(U$603,102.35,NA())</f>
        <v>102.35</v>
      </c>
      <c r="V641" s="82">
        <f>IF(V$603,29.83,NA())</f>
        <v>29.83</v>
      </c>
      <c r="W641" s="82">
        <f>IF(W$603,70.87,NA())</f>
        <v>70.87</v>
      </c>
      <c r="X641" s="82">
        <f>IF(X$603,62.18,NA())</f>
        <v>62.18</v>
      </c>
      <c r="Y641" s="82">
        <f>IF(Y$603,48.86,NA())</f>
        <v>48.86</v>
      </c>
      <c r="Z641" s="82">
        <f>IF(Z$603,67.36,NA())</f>
        <v>67.36</v>
      </c>
      <c r="AA641" s="82">
        <f>IF(AA$603,48.98,NA())</f>
        <v>48.98</v>
      </c>
      <c r="AB641" s="82">
        <f>IF(AB$603,36.49,NA())</f>
        <v>36.49</v>
      </c>
      <c r="AC641" s="82">
        <f>IF(AC$603,71.21,NA())</f>
        <v>71.209999999999994</v>
      </c>
      <c r="AD641" s="82" t="e">
        <f>IF(AD$603,68.36,NA())</f>
        <v>#N/A</v>
      </c>
      <c r="AE641" s="82" t="e">
        <f>IF(AE$603,65.08,NA())</f>
        <v>#N/A</v>
      </c>
      <c r="AF641" s="82" t="e">
        <f>IF(AF$603,44.74,NA())</f>
        <v>#N/A</v>
      </c>
      <c r="AG641" s="82" t="e">
        <f>IF(AG$603,58.86,NA())</f>
        <v>#N/A</v>
      </c>
      <c r="AH641" s="82" t="e">
        <f>IF(AH$603,34.99,NA())</f>
        <v>#N/A</v>
      </c>
      <c r="AI641" s="82" t="e">
        <f>IF(AI$603,27.87,NA())</f>
        <v>#N/A</v>
      </c>
      <c r="AJ641" s="82" t="e">
        <f>IF(AJ$603,94.58,NA())</f>
        <v>#N/A</v>
      </c>
      <c r="AK641" s="82" t="e">
        <f>IF(AK$603,70.07,NA())</f>
        <v>#N/A</v>
      </c>
      <c r="AL641" s="82" t="e">
        <f>IF(AL$603,41.27,NA())</f>
        <v>#N/A</v>
      </c>
      <c r="AM641" s="82" t="e">
        <f>IF(AM$603,28.93,NA())</f>
        <v>#N/A</v>
      </c>
      <c r="AN641" s="82" t="e">
        <f>IF(AN$603,68.52,NA())</f>
        <v>#N/A</v>
      </c>
      <c r="AO641" s="82" t="e">
        <f>IF(AO$603,43.05,NA())</f>
        <v>#N/A</v>
      </c>
      <c r="AP641" s="82" t="e">
        <f>IF(AP$603,50.86,NA())</f>
        <v>#N/A</v>
      </c>
      <c r="AQ641" s="82" t="e">
        <f>IF(AQ$603,42.78,NA())</f>
        <v>#N/A</v>
      </c>
      <c r="AR641" s="82" t="e">
        <f>IF(AR$603,37.09,NA())</f>
        <v>#N/A</v>
      </c>
      <c r="AS641" s="82" t="e">
        <f>IF(AS$603,54.75,NA())</f>
        <v>#N/A</v>
      </c>
      <c r="AT641" s="82" t="e">
        <f>IF(AT$603,62.93,NA())</f>
        <v>#N/A</v>
      </c>
      <c r="AU641" s="82" t="e">
        <f>IF(AU$603,35.33,NA())</f>
        <v>#N/A</v>
      </c>
      <c r="AV641" s="82" t="e">
        <f>IF(AV$603,29.37,NA())</f>
        <v>#N/A</v>
      </c>
      <c r="AW641" s="82" t="e">
        <f>IF(AW$603,68.87,NA())</f>
        <v>#N/A</v>
      </c>
      <c r="AX641" s="82" t="e">
        <f>IF(AX$603,20.41,NA())</f>
        <v>#N/A</v>
      </c>
      <c r="AY641" s="82" t="e">
        <f>IF(AY$603,75.77,NA())</f>
        <v>#N/A</v>
      </c>
    </row>
    <row r="642" spans="1:51" x14ac:dyDescent="0.3">
      <c r="A642" s="81" t="s">
        <v>116</v>
      </c>
      <c r="B642" s="82" t="e">
        <f>IF(B$603,138.49,NA())</f>
        <v>#VALUE!</v>
      </c>
      <c r="C642" s="82" t="e">
        <f>IF(C$603,48.17,NA())</f>
        <v>#VALUE!</v>
      </c>
      <c r="D642" s="82">
        <f>IF(D$603,111.19,NA())</f>
        <v>111.19</v>
      </c>
      <c r="E642" s="82" t="e">
        <f>IF(E$603,44.2,NA())</f>
        <v>#N/A</v>
      </c>
      <c r="F642" s="82" t="e">
        <f>IF(F$603,53.28,NA())</f>
        <v>#N/A</v>
      </c>
      <c r="G642" s="82">
        <f>IF(G$603,38.85,NA())</f>
        <v>38.85</v>
      </c>
      <c r="H642" s="82" t="e">
        <f>IF(H$603,57.4,NA())</f>
        <v>#N/A</v>
      </c>
      <c r="I642" s="82">
        <f>IF(I$603,49.55,NA())</f>
        <v>49.55</v>
      </c>
      <c r="J642" s="82" t="e">
        <f>NA()</f>
        <v>#N/A</v>
      </c>
      <c r="K642" s="82">
        <f>IF(K$603,53.78,NA())</f>
        <v>53.78</v>
      </c>
      <c r="L642" s="82">
        <f>IF(L$603,41.01,NA())</f>
        <v>41.01</v>
      </c>
      <c r="M642" s="82">
        <f>IF(M$603,98.98,NA())</f>
        <v>98.98</v>
      </c>
      <c r="N642" s="82">
        <f>IF(N$603,68.74,NA())</f>
        <v>68.739999999999995</v>
      </c>
      <c r="O642" s="82">
        <f>IF(O$603,31.33,NA())</f>
        <v>31.33</v>
      </c>
      <c r="P642" s="82">
        <f>IF(P$603,32.67,NA())</f>
        <v>32.67</v>
      </c>
      <c r="Q642" s="82">
        <f>IF(Q$603,89.37,NA())</f>
        <v>89.37</v>
      </c>
      <c r="R642" s="82">
        <f>IF(R$603,37.19,NA())</f>
        <v>37.19</v>
      </c>
      <c r="S642" s="82">
        <f>IF(S$603,90.77,NA())</f>
        <v>90.77</v>
      </c>
      <c r="T642" s="82">
        <f>IF(T$603,63.57,NA())</f>
        <v>63.57</v>
      </c>
      <c r="U642" s="82">
        <f>IF(U$603,100.63,NA())</f>
        <v>100.63</v>
      </c>
      <c r="V642" s="82">
        <f>IF(V$603,34.22,NA())</f>
        <v>34.22</v>
      </c>
      <c r="W642" s="82">
        <f>IF(W$603,73.89,NA())</f>
        <v>73.89</v>
      </c>
      <c r="X642" s="82">
        <f>IF(X$603,63.05,NA())</f>
        <v>63.05</v>
      </c>
      <c r="Y642" s="82">
        <f>IF(Y$603,46.51,NA())</f>
        <v>46.51</v>
      </c>
      <c r="Z642" s="82">
        <f>IF(Z$603,70.22,NA())</f>
        <v>70.22</v>
      </c>
      <c r="AA642" s="82">
        <f>IF(AA$603,52.38,NA())</f>
        <v>52.38</v>
      </c>
      <c r="AB642" s="82">
        <f>IF(AB$603,39.1,NA())</f>
        <v>39.1</v>
      </c>
      <c r="AC642" s="82">
        <f>IF(AC$603,71.21,NA())</f>
        <v>71.209999999999994</v>
      </c>
      <c r="AD642" s="82" t="e">
        <f>IF(AD$603,69.32,NA())</f>
        <v>#N/A</v>
      </c>
      <c r="AE642" s="82" t="e">
        <f>IF(AE$603,64.22,NA())</f>
        <v>#N/A</v>
      </c>
      <c r="AF642" s="82" t="e">
        <f>IF(AF$603,42.92,NA())</f>
        <v>#N/A</v>
      </c>
      <c r="AG642" s="82" t="e">
        <f>IF(AG$603,60.35,NA())</f>
        <v>#N/A</v>
      </c>
      <c r="AH642" s="82" t="e">
        <f>IF(AH$603,33.45,NA())</f>
        <v>#N/A</v>
      </c>
      <c r="AI642" s="82" t="e">
        <f>IF(AI$603,29.38,NA())</f>
        <v>#N/A</v>
      </c>
      <c r="AJ642" s="82" t="e">
        <f>IF(AJ$603,93.73,NA())</f>
        <v>#N/A</v>
      </c>
      <c r="AK642" s="82" t="e">
        <f>IF(AK$603,69.86,NA())</f>
        <v>#N/A</v>
      </c>
      <c r="AL642" s="82" t="e">
        <f>IF(AL$603,42.26,NA())</f>
        <v>#N/A</v>
      </c>
      <c r="AM642" s="82" t="e">
        <f>IF(AM$603,26.18,NA())</f>
        <v>#N/A</v>
      </c>
      <c r="AN642" s="82" t="e">
        <f>IF(AN$603,66,NA())</f>
        <v>#N/A</v>
      </c>
      <c r="AO642" s="82" t="e">
        <f>IF(AO$603,42.68,NA())</f>
        <v>#N/A</v>
      </c>
      <c r="AP642" s="82" t="e">
        <f>IF(AP$603,49.3,NA())</f>
        <v>#N/A</v>
      </c>
      <c r="AQ642" s="82" t="e">
        <f>IF(AQ$603,41.4,NA())</f>
        <v>#N/A</v>
      </c>
      <c r="AR642" s="82" t="e">
        <f>IF(AR$603,35.97,NA())</f>
        <v>#N/A</v>
      </c>
      <c r="AS642" s="82" t="e">
        <f>IF(AS$603,55.09,NA())</f>
        <v>#N/A</v>
      </c>
      <c r="AT642" s="82" t="e">
        <f>IF(AT$603,64.25,NA())</f>
        <v>#N/A</v>
      </c>
      <c r="AU642" s="82" t="e">
        <f>IF(AU$603,34.38,NA())</f>
        <v>#N/A</v>
      </c>
      <c r="AV642" s="82" t="e">
        <f>IF(AV$603,31.5,NA())</f>
        <v>#N/A</v>
      </c>
      <c r="AW642" s="82" t="e">
        <f>IF(AW$603,69.87,NA())</f>
        <v>#N/A</v>
      </c>
      <c r="AX642" s="82" t="e">
        <f>IF(AX$603,24.66,NA())</f>
        <v>#N/A</v>
      </c>
      <c r="AY642" s="82" t="e">
        <f>IF(AY$603,73.35,NA())</f>
        <v>#N/A</v>
      </c>
    </row>
    <row r="643" spans="1:51" x14ac:dyDescent="0.3">
      <c r="A643" s="81" t="s">
        <v>117</v>
      </c>
      <c r="B643" s="82" t="e">
        <f>IF(B$603,136.38,NA())</f>
        <v>#VALUE!</v>
      </c>
      <c r="C643" s="82" t="e">
        <f>IF(C$603,51.98,NA())</f>
        <v>#VALUE!</v>
      </c>
      <c r="D643" s="82">
        <f>IF(D$603,113.34,NA())</f>
        <v>113.34</v>
      </c>
      <c r="E643" s="82" t="e">
        <f>IF(E$603,47.65,NA())</f>
        <v>#N/A</v>
      </c>
      <c r="F643" s="82" t="e">
        <f>IF(F$603,56.64,NA())</f>
        <v>#N/A</v>
      </c>
      <c r="G643" s="82">
        <f>IF(G$603,39.57,NA())</f>
        <v>39.57</v>
      </c>
      <c r="H643" s="82" t="e">
        <f>IF(H$603,60.54,NA())</f>
        <v>#N/A</v>
      </c>
      <c r="I643" s="82">
        <f>IF(I$603,49.55,NA())</f>
        <v>49.55</v>
      </c>
      <c r="J643" s="82" t="e">
        <f>NA()</f>
        <v>#N/A</v>
      </c>
      <c r="K643" s="82">
        <f>IF(K$603,55.03,NA())</f>
        <v>55.03</v>
      </c>
      <c r="L643" s="82">
        <f>IF(L$603,40.47,NA())</f>
        <v>40.47</v>
      </c>
      <c r="M643" s="82">
        <f>IF(M$603,100.91,NA())</f>
        <v>100.91</v>
      </c>
      <c r="N643" s="82">
        <f>IF(N$603,64.21,NA())</f>
        <v>64.209999999999994</v>
      </c>
      <c r="O643" s="82">
        <f>IF(O$603,32.49,NA())</f>
        <v>32.49</v>
      </c>
      <c r="P643" s="82">
        <f>IF(P$603,32.23,NA())</f>
        <v>32.229999999999997</v>
      </c>
      <c r="Q643" s="82">
        <f>IF(Q$603,85.6,NA())</f>
        <v>85.6</v>
      </c>
      <c r="R643" s="82">
        <f>IF(R$603,37.83,NA())</f>
        <v>37.83</v>
      </c>
      <c r="S643" s="82">
        <f>IF(S$603,93.73,NA())</f>
        <v>93.73</v>
      </c>
      <c r="T643" s="82">
        <f>IF(T$603,62.52,NA())</f>
        <v>62.52</v>
      </c>
      <c r="U643" s="82">
        <f>IF(U$603,97.75,NA())</f>
        <v>97.75</v>
      </c>
      <c r="V643" s="82">
        <f>IF(V$603,35.09,NA())</f>
        <v>35.090000000000003</v>
      </c>
      <c r="W643" s="82">
        <f>IF(W$603,73.61,NA())</f>
        <v>73.61</v>
      </c>
      <c r="X643" s="82">
        <f>IF(X$603,63.7,NA())</f>
        <v>63.7</v>
      </c>
      <c r="Y643" s="82">
        <f>IF(Y$603,45.92,NA())</f>
        <v>45.92</v>
      </c>
      <c r="Z643" s="82">
        <f>IF(Z$603,70.94,NA())</f>
        <v>70.94</v>
      </c>
      <c r="AA643" s="82">
        <f>IF(AA$603,55.1,NA())</f>
        <v>55.1</v>
      </c>
      <c r="AB643" s="82">
        <f>IF(AB$603,41.53,NA())</f>
        <v>41.53</v>
      </c>
      <c r="AC643" s="82">
        <f>IF(AC$603,71.11,NA())</f>
        <v>71.11</v>
      </c>
      <c r="AD643" s="82" t="e">
        <f>IF(AD$603,66.43,NA())</f>
        <v>#N/A</v>
      </c>
      <c r="AE643" s="82" t="e">
        <f>IF(AE$603,64.08,NA())</f>
        <v>#N/A</v>
      </c>
      <c r="AF643" s="82" t="e">
        <f>IF(AF$603,44.74,NA())</f>
        <v>#N/A</v>
      </c>
      <c r="AG643" s="82" t="e">
        <f>IF(AG$603,58.86,NA())</f>
        <v>#N/A</v>
      </c>
      <c r="AH643" s="82" t="e">
        <f>IF(AH$603,32.42,NA())</f>
        <v>#N/A</v>
      </c>
      <c r="AI643" s="82" t="e">
        <f>IF(AI$603,25.61,NA())</f>
        <v>#N/A</v>
      </c>
      <c r="AJ643" s="82" t="e">
        <f>IF(AJ$603,92.87,NA())</f>
        <v>#N/A</v>
      </c>
      <c r="AK643" s="82" t="e">
        <f>IF(AK$603,68.99,NA())</f>
        <v>#N/A</v>
      </c>
      <c r="AL643" s="82" t="e">
        <f>IF(AL$603,42.26,NA())</f>
        <v>#N/A</v>
      </c>
      <c r="AM643" s="82" t="e">
        <f>IF(AM$603,26.18,NA())</f>
        <v>#N/A</v>
      </c>
      <c r="AN643" s="82" t="e">
        <f>IF(AN$603,66.38,NA())</f>
        <v>#N/A</v>
      </c>
      <c r="AO643" s="82" t="e">
        <f>IF(AO$603,44.16,NA())</f>
        <v>#N/A</v>
      </c>
      <c r="AP643" s="82" t="e">
        <f>IF(AP$603,52.42,NA())</f>
        <v>#N/A</v>
      </c>
      <c r="AQ643" s="82" t="e">
        <f>IF(AQ$603,42.78,NA())</f>
        <v>#N/A</v>
      </c>
      <c r="AR643" s="82" t="e">
        <f>IF(AR$603,35.4,NA())</f>
        <v>#N/A</v>
      </c>
      <c r="AS643" s="82" t="e">
        <f>IF(AS$603,54.41,NA())</f>
        <v>#N/A</v>
      </c>
      <c r="AT643" s="82" t="e">
        <f>IF(AT$603,64.47,NA())</f>
        <v>#N/A</v>
      </c>
      <c r="AU643" s="82" t="e">
        <f>IF(AU$603,34.38,NA())</f>
        <v>#N/A</v>
      </c>
      <c r="AV643" s="82" t="e">
        <f>IF(AV$603,29.79,NA())</f>
        <v>#N/A</v>
      </c>
      <c r="AW643" s="82" t="e">
        <f>IF(AW$603,72.87,NA())</f>
        <v>#N/A</v>
      </c>
      <c r="AX643" s="82" t="e">
        <f>IF(AX$603,26.36,NA())</f>
        <v>#N/A</v>
      </c>
      <c r="AY643" s="82" t="e">
        <f>IF(AY$603,71.24,NA())</f>
        <v>#N/A</v>
      </c>
    </row>
    <row r="644" spans="1:51" x14ac:dyDescent="0.3">
      <c r="A644" s="81" t="s">
        <v>118</v>
      </c>
      <c r="B644" s="82" t="e">
        <f>IF(B$603,136.73,NA())</f>
        <v>#VALUE!</v>
      </c>
      <c r="C644" s="82" t="e">
        <f>IF(C$603,48.81,NA())</f>
        <v>#VALUE!</v>
      </c>
      <c r="D644" s="82">
        <f>IF(D$603,116.56,NA())</f>
        <v>116.56</v>
      </c>
      <c r="E644" s="82" t="e">
        <f>IF(E$603,50.07,NA())</f>
        <v>#N/A</v>
      </c>
      <c r="F644" s="82" t="e">
        <f>IF(F$603,54.72,NA())</f>
        <v>#N/A</v>
      </c>
      <c r="G644" s="82">
        <f>IF(G$603,40.11,NA())</f>
        <v>40.11</v>
      </c>
      <c r="H644" s="82" t="e">
        <f>IF(H$603,59.33,NA())</f>
        <v>#N/A</v>
      </c>
      <c r="I644" s="82">
        <f>IF(I$603,49.42,NA())</f>
        <v>49.42</v>
      </c>
      <c r="J644" s="82" t="e">
        <f>NA()</f>
        <v>#N/A</v>
      </c>
      <c r="K644" s="82">
        <f>IF(K$603,55.79,NA())</f>
        <v>55.79</v>
      </c>
      <c r="L644" s="82">
        <f>IF(L$603,41.01,NA())</f>
        <v>41.01</v>
      </c>
      <c r="M644" s="82">
        <f>IF(M$603,99.81,NA())</f>
        <v>99.81</v>
      </c>
      <c r="N644" s="82">
        <f>IF(N$603,68.74,NA())</f>
        <v>68.739999999999995</v>
      </c>
      <c r="O644" s="82">
        <f>IF(O$603,31.72,NA())</f>
        <v>31.72</v>
      </c>
      <c r="P644" s="82">
        <f>IF(P$603,34,NA())</f>
        <v>34</v>
      </c>
      <c r="Q644" s="82">
        <f>IF(Q$603,79.96,NA())</f>
        <v>79.959999999999994</v>
      </c>
      <c r="R644" s="82">
        <f>IF(R$603,38.14,NA())</f>
        <v>38.14</v>
      </c>
      <c r="S644" s="82">
        <f>IF(S$603,93.14,NA())</f>
        <v>93.14</v>
      </c>
      <c r="T644" s="82">
        <f>IF(T$603,60.59,NA())</f>
        <v>60.59</v>
      </c>
      <c r="U644" s="82">
        <f>IF(U$603,93.73,NA())</f>
        <v>93.73</v>
      </c>
      <c r="V644" s="82">
        <f>IF(V$603,33.34,NA())</f>
        <v>33.340000000000003</v>
      </c>
      <c r="W644" s="82">
        <f>IF(W$603,72.1,NA())</f>
        <v>72.099999999999994</v>
      </c>
      <c r="X644" s="82">
        <f>IF(X$603,63.84,NA())</f>
        <v>63.84</v>
      </c>
      <c r="Y644" s="82">
        <f>IF(Y$603,47.1,NA())</f>
        <v>47.1</v>
      </c>
      <c r="Z644" s="82">
        <f>IF(Z$603,71.66,NA())</f>
        <v>71.66</v>
      </c>
      <c r="AA644" s="82">
        <f>IF(AA$603,55.1,NA())</f>
        <v>55.1</v>
      </c>
      <c r="AB644" s="82">
        <f>IF(AB$603,42.65,NA())</f>
        <v>42.65</v>
      </c>
      <c r="AC644" s="82">
        <f>IF(AC$603,69.68,NA())</f>
        <v>69.680000000000007</v>
      </c>
      <c r="AD644" s="82" t="e">
        <f>IF(AD$603,64.51,NA())</f>
        <v>#N/A</v>
      </c>
      <c r="AE644" s="82" t="e">
        <f>IF(AE$603,63.79,NA())</f>
        <v>#N/A</v>
      </c>
      <c r="AF644" s="82" t="e">
        <f>IF(AF$603,43.83,NA())</f>
        <v>#N/A</v>
      </c>
      <c r="AG644" s="82" t="e">
        <f>IF(AG$603,53.64,NA())</f>
        <v>#N/A</v>
      </c>
      <c r="AH644" s="82" t="e">
        <f>IF(AH$603,34.99,NA())</f>
        <v>#N/A</v>
      </c>
      <c r="AI644" s="82" t="e">
        <f>IF(AI$603,29.38,NA())</f>
        <v>#N/A</v>
      </c>
      <c r="AJ644" s="82" t="e">
        <f>IF(AJ$603,93.3,NA())</f>
        <v>#N/A</v>
      </c>
      <c r="AK644" s="82" t="e">
        <f>IF(AK$603,67.05,NA())</f>
        <v>#N/A</v>
      </c>
      <c r="AL644" s="82" t="e">
        <f>IF(AL$603,41.93,NA())</f>
        <v>#N/A</v>
      </c>
      <c r="AM644" s="82" t="e">
        <f>IF(AM$603,25.49,NA())</f>
        <v>#N/A</v>
      </c>
      <c r="AN644" s="82" t="e">
        <f>IF(AN$603,68.02,NA())</f>
        <v>#N/A</v>
      </c>
      <c r="AO644" s="82" t="e">
        <f>IF(AO$603,43.23,NA())</f>
        <v>#N/A</v>
      </c>
      <c r="AP644" s="82" t="e">
        <f>IF(AP$603,53.97,NA())</f>
        <v>#N/A</v>
      </c>
      <c r="AQ644" s="82" t="e">
        <f>IF(AQ$603,43.37,NA())</f>
        <v>#N/A</v>
      </c>
      <c r="AR644" s="82" t="e">
        <f>IF(AR$603,35.97,NA())</f>
        <v>#N/A</v>
      </c>
      <c r="AS644" s="82" t="e">
        <f>IF(AS$603,54.75,NA())</f>
        <v>#N/A</v>
      </c>
      <c r="AT644" s="82" t="e">
        <f>IF(AT$603,64.25,NA())</f>
        <v>#N/A</v>
      </c>
      <c r="AU644" s="82" t="e">
        <f>IF(AU$603,36.29,NA())</f>
        <v>#N/A</v>
      </c>
      <c r="AV644" s="82" t="e">
        <f>IF(AV$603,31.07,NA())</f>
        <v>#N/A</v>
      </c>
      <c r="AW644" s="82" t="e">
        <f>IF(AW$603,68.87,NA())</f>
        <v>#N/A</v>
      </c>
      <c r="AX644" s="82" t="e">
        <f>IF(AX$603,27.21,NA())</f>
        <v>#N/A</v>
      </c>
      <c r="AY644" s="82" t="e">
        <f>IF(AY$603,67.01,NA())</f>
        <v>#N/A</v>
      </c>
    </row>
    <row r="645" spans="1:51" x14ac:dyDescent="0.3">
      <c r="A645" s="81" t="s">
        <v>119</v>
      </c>
      <c r="B645" s="82" t="e">
        <f>IF(B$603,136.38,NA())</f>
        <v>#VALUE!</v>
      </c>
      <c r="C645" s="82" t="e">
        <f>IF(C$603,50.71,NA())</f>
        <v>#VALUE!</v>
      </c>
      <c r="D645" s="82">
        <f>IF(D$603,118.34,NA())</f>
        <v>118.34</v>
      </c>
      <c r="E645" s="82" t="e">
        <f>IF(E$603,48,NA())</f>
        <v>#N/A</v>
      </c>
      <c r="F645" s="82" t="e">
        <f>IF(F$603,54.72,NA())</f>
        <v>#N/A</v>
      </c>
      <c r="G645" s="82">
        <f>IF(G$603,39.39,NA())</f>
        <v>39.39</v>
      </c>
      <c r="H645" s="82" t="e">
        <f>IF(H$603,61.27,NA())</f>
        <v>#N/A</v>
      </c>
      <c r="I645" s="82">
        <f>IF(I$603,50.08,NA())</f>
        <v>50.08</v>
      </c>
      <c r="J645" s="82" t="e">
        <f>NA()</f>
        <v>#N/A</v>
      </c>
      <c r="K645" s="82">
        <f>IF(K$603,59.43,NA())</f>
        <v>59.43</v>
      </c>
      <c r="L645" s="82">
        <f>IF(L$603,40.47,NA())</f>
        <v>40.47</v>
      </c>
      <c r="M645" s="82">
        <f>IF(M$603,100.36,NA())</f>
        <v>100.36</v>
      </c>
      <c r="N645" s="82">
        <f>IF(N$603,67.23,NA())</f>
        <v>67.23</v>
      </c>
      <c r="O645" s="82">
        <f>IF(O$603,32.88,NA())</f>
        <v>32.880000000000003</v>
      </c>
      <c r="P645" s="82">
        <f>IF(P$603,34,NA())</f>
        <v>34</v>
      </c>
      <c r="Q645" s="82">
        <f>IF(Q$603,73.37,NA())</f>
        <v>73.37</v>
      </c>
      <c r="R645" s="82">
        <f>IF(R$603,39.21,NA())</f>
        <v>39.21</v>
      </c>
      <c r="S645" s="82">
        <f>IF(S$603,93.54,NA())</f>
        <v>93.54</v>
      </c>
      <c r="T645" s="82">
        <f>IF(T$603,59.7,NA())</f>
        <v>59.7</v>
      </c>
      <c r="U645" s="82">
        <f>IF(U$603,98.9,NA())</f>
        <v>98.9</v>
      </c>
      <c r="V645" s="82">
        <f>IF(V$603,33.34,NA())</f>
        <v>33.340000000000003</v>
      </c>
      <c r="W645" s="82">
        <f>IF(W$603,70.18,NA())</f>
        <v>70.180000000000007</v>
      </c>
      <c r="X645" s="82">
        <f>IF(X$603,63.41,NA())</f>
        <v>63.41</v>
      </c>
      <c r="Y645" s="82">
        <f>IF(Y$603,47.1,NA())</f>
        <v>47.1</v>
      </c>
      <c r="Z645" s="82">
        <f>IF(Z$603,74.16,NA())</f>
        <v>74.16</v>
      </c>
      <c r="AA645" s="82">
        <f>IF(AA$603,57.14,NA())</f>
        <v>57.14</v>
      </c>
      <c r="AB645" s="82" t="e">
        <f>NA()</f>
        <v>#N/A</v>
      </c>
      <c r="AC645" s="82">
        <f>IF(AC$603,67.44,NA())</f>
        <v>67.44</v>
      </c>
      <c r="AD645" s="82" t="e">
        <f>IF(AD$603,61.62,NA())</f>
        <v>#N/A</v>
      </c>
      <c r="AE645" s="82" t="e">
        <f>IF(AE$603,65.36,NA())</f>
        <v>#N/A</v>
      </c>
      <c r="AF645" s="82" t="e">
        <f>IF(AF$603,42.92,NA())</f>
        <v>#N/A</v>
      </c>
      <c r="AG645" s="82" t="e">
        <f>IF(AG$603,54.39,NA())</f>
        <v>#N/A</v>
      </c>
      <c r="AH645" s="82" t="e">
        <f>IF(AH$603,36.02,NA())</f>
        <v>#N/A</v>
      </c>
      <c r="AI645" s="82" t="e">
        <f>IF(AI$603,30.89,NA())</f>
        <v>#N/A</v>
      </c>
      <c r="AJ645" s="82" t="e">
        <f>IF(AJ$603,96.3,NA())</f>
        <v>#N/A</v>
      </c>
      <c r="AK645" s="82" t="e">
        <f>IF(AK$603,67.48,NA())</f>
        <v>#N/A</v>
      </c>
      <c r="AL645" s="82" t="e">
        <f>IF(AL$603,41.27,NA())</f>
        <v>#N/A</v>
      </c>
      <c r="AM645" s="82" t="e">
        <f>IF(AM$603,24.11,NA())</f>
        <v>#N/A</v>
      </c>
      <c r="AN645" s="82" t="e">
        <f>IF(AN$603,67.77,NA())</f>
        <v>#N/A</v>
      </c>
      <c r="AO645" s="82" t="e">
        <f>IF(AO$603,42.68,NA())</f>
        <v>#N/A</v>
      </c>
      <c r="AP645" s="82" t="e">
        <f>IF(AP$603,52.42,NA())</f>
        <v>#N/A</v>
      </c>
      <c r="AQ645" s="82" t="e">
        <f>IF(AQ$603,48.69,NA())</f>
        <v>#N/A</v>
      </c>
      <c r="AR645" s="82" t="e">
        <f>IF(AR$603,35.4,NA())</f>
        <v>#N/A</v>
      </c>
      <c r="AS645" s="82" t="e">
        <f>IF(AS$603,55.43,NA())</f>
        <v>#N/A</v>
      </c>
      <c r="AT645" s="82" t="e">
        <f>IF(AT$603,64.69,NA())</f>
        <v>#N/A</v>
      </c>
      <c r="AU645" s="82" t="e">
        <f>IF(AU$603,37.24,NA())</f>
        <v>#N/A</v>
      </c>
      <c r="AV645" s="82" t="e">
        <f>IF(AV$603,34.9,NA())</f>
        <v>#N/A</v>
      </c>
      <c r="AW645" s="82" t="e">
        <f>IF(AW$603,65.88,NA())</f>
        <v>#N/A</v>
      </c>
      <c r="AX645" s="82" t="e">
        <f>IF(AX$603,24.66,NA())</f>
        <v>#N/A</v>
      </c>
      <c r="AY645" s="82" t="e">
        <f>IF(AY$603,64.3,NA())</f>
        <v>#N/A</v>
      </c>
    </row>
    <row r="646" spans="1:51" x14ac:dyDescent="0.3">
      <c r="A646" s="81" t="s">
        <v>120</v>
      </c>
      <c r="B646" s="82" t="e">
        <f>IF(B$603,140.43,NA())</f>
        <v>#VALUE!</v>
      </c>
      <c r="C646" s="82" t="e">
        <f>IF(C$603,50.71,NA())</f>
        <v>#VALUE!</v>
      </c>
      <c r="D646" s="82">
        <f>IF(D$603,120.13,NA())</f>
        <v>120.13</v>
      </c>
      <c r="E646" s="82" t="e">
        <f>IF(E$603,49.72,NA())</f>
        <v>#N/A</v>
      </c>
      <c r="F646" s="82" t="e">
        <f>IF(F$603,57.12,NA())</f>
        <v>#N/A</v>
      </c>
      <c r="G646" s="82">
        <f>IF(G$603,39.93,NA())</f>
        <v>39.93</v>
      </c>
      <c r="H646" s="82" t="e">
        <f>IF(H$603,63.44,NA())</f>
        <v>#N/A</v>
      </c>
      <c r="I646" s="82">
        <f>IF(I$603,51.68,NA())</f>
        <v>51.68</v>
      </c>
      <c r="J646" s="82" t="e">
        <f>NA()</f>
        <v>#N/A</v>
      </c>
      <c r="K646" s="82">
        <f>IF(K$603,60.31,NA())</f>
        <v>60.31</v>
      </c>
      <c r="L646" s="82">
        <f>IF(L$603,40.88,NA())</f>
        <v>40.880000000000003</v>
      </c>
      <c r="M646" s="82">
        <f>IF(M$603,100.36,NA())</f>
        <v>100.36</v>
      </c>
      <c r="N646" s="82">
        <f>IF(N$603,71.01,NA())</f>
        <v>71.010000000000005</v>
      </c>
      <c r="O646" s="82">
        <f>IF(O$603,34.43,NA())</f>
        <v>34.43</v>
      </c>
      <c r="P646" s="82">
        <f>IF(P$603,37.97,NA())</f>
        <v>37.97</v>
      </c>
      <c r="Q646" s="82">
        <f>IF(Q$603,63.97,NA())</f>
        <v>63.97</v>
      </c>
      <c r="R646" s="82">
        <f>IF(R$603,40.48,NA())</f>
        <v>40.479999999999997</v>
      </c>
      <c r="S646" s="82">
        <f>IF(S$603,92.75,NA())</f>
        <v>92.75</v>
      </c>
      <c r="T646" s="82">
        <f>IF(T$603,59.1,NA())</f>
        <v>59.1</v>
      </c>
      <c r="U646" s="82">
        <f>IF(U$603,100.05,NA())</f>
        <v>100.05</v>
      </c>
      <c r="V646" s="82">
        <f>IF(V$603,32.46,NA())</f>
        <v>32.46</v>
      </c>
      <c r="W646" s="82">
        <f>IF(W$603,72.65,NA())</f>
        <v>72.650000000000006</v>
      </c>
      <c r="X646" s="82">
        <f>IF(X$603,64.13,NA())</f>
        <v>64.13</v>
      </c>
      <c r="Y646" s="82">
        <f>IF(Y$603,44.74,NA())</f>
        <v>44.74</v>
      </c>
      <c r="Z646" s="82">
        <f>IF(Z$603,74.16,NA())</f>
        <v>74.16</v>
      </c>
      <c r="AA646" s="82">
        <f>IF(AA$603,57.82,NA())</f>
        <v>57.82</v>
      </c>
      <c r="AB646" s="82" t="e">
        <f>NA()</f>
        <v>#N/A</v>
      </c>
      <c r="AC646" s="82">
        <f>IF(AC$603,66.42,NA())</f>
        <v>66.42</v>
      </c>
      <c r="AD646" s="82" t="e">
        <f>IF(AD$603,63.54,NA())</f>
        <v>#N/A</v>
      </c>
      <c r="AE646" s="82" t="e">
        <f>IF(AE$603,64.93,NA())</f>
        <v>#N/A</v>
      </c>
      <c r="AF646" s="82" t="e">
        <f>IF(AF$603,38.35,NA())</f>
        <v>#N/A</v>
      </c>
      <c r="AG646" s="82" t="e">
        <f>IF(AG$603,55.88,NA())</f>
        <v>#N/A</v>
      </c>
      <c r="AH646" s="82" t="e">
        <f>IF(AH$603,39.62,NA())</f>
        <v>#N/A</v>
      </c>
      <c r="AI646" s="82" t="e">
        <f>IF(AI$603,33.9,NA())</f>
        <v>#N/A</v>
      </c>
      <c r="AJ646" s="82" t="e">
        <f>IF(AJ$603,96.72,NA())</f>
        <v>#N/A</v>
      </c>
      <c r="AK646" s="82" t="e">
        <f>IF(AK$603,67.15,NA())</f>
        <v>#N/A</v>
      </c>
      <c r="AL646" s="82" t="e">
        <f>IF(AL$603,40.94,NA())</f>
        <v>#N/A</v>
      </c>
      <c r="AM646" s="82" t="e">
        <f>IF(AM$603,24.11,NA())</f>
        <v>#N/A</v>
      </c>
      <c r="AN646" s="82" t="e">
        <f>IF(AN$603,68.9,NA())</f>
        <v>#N/A</v>
      </c>
      <c r="AO646" s="82" t="e">
        <f>IF(AO$603,43.05,NA())</f>
        <v>#N/A</v>
      </c>
      <c r="AP646" s="82" t="e">
        <f>IF(AP$603,51.9,NA())</f>
        <v>#N/A</v>
      </c>
      <c r="AQ646" s="82" t="e">
        <f>IF(AQ$603,50.47,NA())</f>
        <v>#N/A</v>
      </c>
      <c r="AR646" s="82" t="e">
        <f>IF(AR$603,34.28,NA())</f>
        <v>#N/A</v>
      </c>
      <c r="AS646" s="82" t="e">
        <f>IF(AS$603,55.6,NA())</f>
        <v>#N/A</v>
      </c>
      <c r="AT646" s="82" t="e">
        <f>IF(AT$603,64.25,NA())</f>
        <v>#N/A</v>
      </c>
      <c r="AU646" s="82" t="e">
        <f>IF(AU$603,40.11,NA())</f>
        <v>#N/A</v>
      </c>
      <c r="AV646" s="82" t="e">
        <f>IF(AV$603,36.6,NA())</f>
        <v>#N/A</v>
      </c>
      <c r="AW646" s="82" t="e">
        <f>IF(AW$603,68.87,NA())</f>
        <v>#N/A</v>
      </c>
      <c r="AX646" s="82" t="e">
        <f>IF(AX$603,28.91,NA())</f>
        <v>#N/A</v>
      </c>
      <c r="AY646" s="82" t="e">
        <f>IF(AY$603,64,NA())</f>
        <v>#N/A</v>
      </c>
    </row>
    <row r="647" spans="1:51" x14ac:dyDescent="0.3">
      <c r="A647" s="81" t="s">
        <v>121</v>
      </c>
      <c r="B647" s="82" t="e">
        <f>IF(B$603,142.36,NA())</f>
        <v>#VALUE!</v>
      </c>
      <c r="C647" s="82" t="e">
        <f>IF(C$603,54.51,NA())</f>
        <v>#VALUE!</v>
      </c>
      <c r="D647" s="82">
        <f>IF(D$603,121.56,NA())</f>
        <v>121.56</v>
      </c>
      <c r="E647" s="82" t="e">
        <f>IF(E$603,54.21,NA())</f>
        <v>#N/A</v>
      </c>
      <c r="F647" s="82" t="e">
        <f>IF(F$603,62.88,NA())</f>
        <v>#N/A</v>
      </c>
      <c r="G647" s="82">
        <f>IF(G$603,40.11,NA())</f>
        <v>40.11</v>
      </c>
      <c r="H647" s="82" t="e">
        <f>IF(H$603,67.19,NA())</f>
        <v>#N/A</v>
      </c>
      <c r="I647" s="82">
        <f>IF(I$603,51.81,NA())</f>
        <v>51.81</v>
      </c>
      <c r="J647" s="82" t="e">
        <f>NA()</f>
        <v>#N/A</v>
      </c>
      <c r="K647" s="82">
        <f>IF(K$603,63.07,NA())</f>
        <v>63.07</v>
      </c>
      <c r="L647" s="82">
        <f>IF(L$603,41.7,NA())</f>
        <v>41.7</v>
      </c>
      <c r="M647" s="82">
        <f>IF(M$603,100.36,NA())</f>
        <v>100.36</v>
      </c>
      <c r="N647" s="82">
        <f>IF(N$603,71.01,NA())</f>
        <v>71.010000000000005</v>
      </c>
      <c r="O647" s="82">
        <f>IF(O$603,34.81,NA())</f>
        <v>34.81</v>
      </c>
      <c r="P647" s="82">
        <f>IF(P$603,38.41,NA())</f>
        <v>38.409999999999997</v>
      </c>
      <c r="Q647" s="82">
        <f>IF(Q$603,55.5,NA())</f>
        <v>55.5</v>
      </c>
      <c r="R647" s="82">
        <f>IF(R$603,43.03,NA())</f>
        <v>43.03</v>
      </c>
      <c r="S647" s="82">
        <f>IF(S$603,94.13,NA())</f>
        <v>94.13</v>
      </c>
      <c r="T647" s="82">
        <f>IF(T$603,57.91,NA())</f>
        <v>57.91</v>
      </c>
      <c r="U647" s="82">
        <f>IF(U$603,103.5,NA())</f>
        <v>103.5</v>
      </c>
      <c r="V647" s="82">
        <f>IF(V$603,34.22,NA())</f>
        <v>34.22</v>
      </c>
      <c r="W647" s="82">
        <f>IF(W$603,71.69,NA())</f>
        <v>71.69</v>
      </c>
      <c r="X647" s="82">
        <f>IF(X$603,63.41,NA())</f>
        <v>63.41</v>
      </c>
      <c r="Y647" s="82">
        <f>IF(Y$603,44.15,NA())</f>
        <v>44.15</v>
      </c>
      <c r="Z647" s="82">
        <f>IF(Z$603,73.09,NA())</f>
        <v>73.09</v>
      </c>
      <c r="AA647" s="82">
        <f>IF(AA$603,55.1,NA())</f>
        <v>55.1</v>
      </c>
      <c r="AB647" s="82" t="e">
        <f>NA()</f>
        <v>#N/A</v>
      </c>
      <c r="AC647" s="82">
        <f>IF(AC$603,66.32,NA())</f>
        <v>66.319999999999993</v>
      </c>
      <c r="AD647" s="82" t="e">
        <f>IF(AD$603,64.51,NA())</f>
        <v>#N/A</v>
      </c>
      <c r="AE647" s="82" t="e">
        <f>IF(AE$603,64.79,NA())</f>
        <v>#N/A</v>
      </c>
      <c r="AF647" s="82" t="e">
        <f>IF(AF$603,45.66,NA())</f>
        <v>#N/A</v>
      </c>
      <c r="AG647" s="82" t="e">
        <f>IF(AG$603,57.37,NA())</f>
        <v>#N/A</v>
      </c>
      <c r="AH647" s="82" t="e">
        <f>IF(AH$603,40.65,NA())</f>
        <v>#N/A</v>
      </c>
      <c r="AI647" s="82" t="e">
        <f>IF(AI$603,32.4,NA())</f>
        <v>#N/A</v>
      </c>
      <c r="AJ647" s="82" t="e">
        <f>IF(AJ$603,96.72,NA())</f>
        <v>#N/A</v>
      </c>
      <c r="AK647" s="82" t="e">
        <f>IF(AK$603,68.34,NA())</f>
        <v>#N/A</v>
      </c>
      <c r="AL647" s="82" t="e">
        <f>IF(AL$603,39.29,NA())</f>
        <v>#N/A</v>
      </c>
      <c r="AM647" s="82" t="e">
        <f>IF(AM$603,26.18,NA())</f>
        <v>#N/A</v>
      </c>
      <c r="AN647" s="82" t="e">
        <f>IF(AN$603,68.52,NA())</f>
        <v>#N/A</v>
      </c>
      <c r="AO647" s="82" t="e">
        <f>IF(AO$603,42.68,NA())</f>
        <v>#N/A</v>
      </c>
      <c r="AP647" s="82" t="e">
        <f>IF(AP$603,52.93,NA())</f>
        <v>#N/A</v>
      </c>
      <c r="AQ647" s="82" t="e">
        <f>IF(AQ$603,51.06,NA())</f>
        <v>#N/A</v>
      </c>
      <c r="AR647" s="82" t="e">
        <f>IF(AR$603,33.72,NA())</f>
        <v>#N/A</v>
      </c>
      <c r="AS647" s="82" t="e">
        <f>IF(AS$603,52.54,NA())</f>
        <v>#N/A</v>
      </c>
      <c r="AT647" s="82" t="e">
        <f>IF(AT$603,65.13,NA())</f>
        <v>#N/A</v>
      </c>
      <c r="AU647" s="82" t="e">
        <f>IF(AU$603,38.2,NA())</f>
        <v>#N/A</v>
      </c>
      <c r="AV647" s="82" t="e">
        <f>IF(AV$603,39.58,NA())</f>
        <v>#N/A</v>
      </c>
      <c r="AW647" s="82" t="e">
        <f>IF(AW$603,65.88,NA())</f>
        <v>#N/A</v>
      </c>
      <c r="AX647" s="82" t="e">
        <f>IF(AX$603,29.76,NA())</f>
        <v>#N/A</v>
      </c>
      <c r="AY647" s="82" t="e">
        <f>IF(AY$603,61.58,NA())</f>
        <v>#N/A</v>
      </c>
    </row>
    <row r="648" spans="1:51" x14ac:dyDescent="0.3">
      <c r="A648" s="81" t="s">
        <v>122</v>
      </c>
      <c r="B648" s="82" t="e">
        <f>IF(B$603,144.47,NA())</f>
        <v>#VALUE!</v>
      </c>
      <c r="C648" s="82" t="e">
        <f>IF(C$603,55.15,NA())</f>
        <v>#VALUE!</v>
      </c>
      <c r="D648" s="82">
        <f>IF(D$603,122.28,NA())</f>
        <v>122.28</v>
      </c>
      <c r="E648" s="82" t="e">
        <f>IF(E$603,55.59,NA())</f>
        <v>#N/A</v>
      </c>
      <c r="F648" s="82" t="e">
        <f>IF(F$603,62.4,NA())</f>
        <v>#N/A</v>
      </c>
      <c r="G648" s="82">
        <f>IF(G$603,40.29,NA())</f>
        <v>40.29</v>
      </c>
      <c r="H648" s="82" t="e">
        <f>IF(H$603,67.67,NA())</f>
        <v>#N/A</v>
      </c>
      <c r="I648" s="82">
        <f>IF(I$603,53.67,NA())</f>
        <v>53.67</v>
      </c>
      <c r="J648" s="82" t="e">
        <f>NA()</f>
        <v>#N/A</v>
      </c>
      <c r="K648" s="82">
        <f>IF(K$603,67.85,NA())</f>
        <v>67.849999999999994</v>
      </c>
      <c r="L648" s="82">
        <f>IF(L$603,42.52,NA())</f>
        <v>42.52</v>
      </c>
      <c r="M648" s="82">
        <f>IF(M$603,103.12,NA())</f>
        <v>103.12</v>
      </c>
      <c r="N648" s="82">
        <f>IF(N$603,74.03,NA())</f>
        <v>74.03</v>
      </c>
      <c r="O648" s="82">
        <f>IF(O$603,35.97,NA())</f>
        <v>35.97</v>
      </c>
      <c r="P648" s="82">
        <f>IF(P$603,36.21,NA())</f>
        <v>36.21</v>
      </c>
      <c r="Q648" s="82">
        <f>IF(Q$603,56.44,NA())</f>
        <v>56.44</v>
      </c>
      <c r="R648" s="82">
        <f>IF(R$603,45.26,NA())</f>
        <v>45.26</v>
      </c>
      <c r="S648" s="82">
        <f>IF(S$603,93.14,NA())</f>
        <v>93.14</v>
      </c>
      <c r="T648" s="82">
        <f>IF(T$603,58.8,NA())</f>
        <v>58.8</v>
      </c>
      <c r="U648" s="82">
        <f>IF(U$603,103.5,NA())</f>
        <v>103.5</v>
      </c>
      <c r="V648" s="82">
        <f>IF(V$603,31.58,NA())</f>
        <v>31.58</v>
      </c>
      <c r="W648" s="82">
        <f>IF(W$603,74.43,NA())</f>
        <v>74.430000000000007</v>
      </c>
      <c r="X648" s="82">
        <f>IF(X$603,64.71,NA())</f>
        <v>64.709999999999994</v>
      </c>
      <c r="Y648" s="82">
        <f>IF(Y$603,46.51,NA())</f>
        <v>46.51</v>
      </c>
      <c r="Z648" s="82">
        <f>IF(Z$603,71.66,NA())</f>
        <v>71.66</v>
      </c>
      <c r="AA648" s="82">
        <f>IF(AA$603,56.46,NA())</f>
        <v>56.46</v>
      </c>
      <c r="AB648" s="82" t="e">
        <f>NA()</f>
        <v>#N/A</v>
      </c>
      <c r="AC648" s="82">
        <f>IF(AC$603,66.52,NA())</f>
        <v>66.52</v>
      </c>
      <c r="AD648" s="82" t="e">
        <f>IF(AD$603,65.47,NA())</f>
        <v>#N/A</v>
      </c>
      <c r="AE648" s="82" t="e">
        <f>IF(AE$603,64.22,NA())</f>
        <v>#N/A</v>
      </c>
      <c r="AF648" s="82" t="e">
        <f>IF(AF$603,48.39,NA())</f>
        <v>#N/A</v>
      </c>
      <c r="AG648" s="82" t="e">
        <f>IF(AG$603,54.39,NA())</f>
        <v>#N/A</v>
      </c>
      <c r="AH648" s="82" t="e">
        <f>IF(AH$603,42.71,NA())</f>
        <v>#N/A</v>
      </c>
      <c r="AI648" s="82" t="e">
        <f>IF(AI$603,32.4,NA())</f>
        <v>#N/A</v>
      </c>
      <c r="AJ648" s="82" t="e">
        <f>IF(AJ$603,98.01,NA())</f>
        <v>#N/A</v>
      </c>
      <c r="AK648" s="82" t="e">
        <f>IF(AK$603,68.02,NA())</f>
        <v>#N/A</v>
      </c>
      <c r="AL648" s="82" t="e">
        <f>IF(AL$603,40.28,NA())</f>
        <v>#N/A</v>
      </c>
      <c r="AM648" s="82" t="e">
        <f>IF(AM$603,23.42,NA())</f>
        <v>#N/A</v>
      </c>
      <c r="AN648" s="82" t="e">
        <f>IF(AN$603,67.39,NA())</f>
        <v>#N/A</v>
      </c>
      <c r="AO648" s="82" t="e">
        <f>IF(AO$603,43.14,NA())</f>
        <v>#N/A</v>
      </c>
      <c r="AP648" s="82" t="e">
        <f>IF(AP$603,50.86,NA())</f>
        <v>#N/A</v>
      </c>
      <c r="AQ648" s="82" t="e">
        <f>IF(AQ$603,49.87,NA())</f>
        <v>#N/A</v>
      </c>
      <c r="AR648" s="82" t="e">
        <f>IF(AR$603,36.53,NA())</f>
        <v>#N/A</v>
      </c>
      <c r="AS648" s="82" t="e">
        <f>IF(AS$603,51.52,NA())</f>
        <v>#N/A</v>
      </c>
      <c r="AT648" s="82" t="e">
        <f>IF(AT$603,63.92,NA())</f>
        <v>#N/A</v>
      </c>
      <c r="AU648" s="82" t="e">
        <f>IF(AU$603,38.2,NA())</f>
        <v>#N/A</v>
      </c>
      <c r="AV648" s="82" t="e">
        <f>IF(AV$603,42.56,NA())</f>
        <v>#N/A</v>
      </c>
      <c r="AW648" s="82" t="e">
        <f>IF(AW$603,69.87,NA())</f>
        <v>#N/A</v>
      </c>
      <c r="AX648" s="82" t="e">
        <f>IF(AX$603,27.21,NA())</f>
        <v>#N/A</v>
      </c>
      <c r="AY648" s="82" t="e">
        <f>IF(AY$603,60.67,NA())</f>
        <v>#N/A</v>
      </c>
    </row>
    <row r="649" spans="1:51" x14ac:dyDescent="0.3">
      <c r="A649" s="81" t="s">
        <v>123</v>
      </c>
      <c r="B649" s="82" t="e">
        <f>IF(B$603,147.99,NA())</f>
        <v>#VALUE!</v>
      </c>
      <c r="C649" s="82" t="e">
        <f>IF(C$603,55.15,NA())</f>
        <v>#VALUE!</v>
      </c>
      <c r="D649" s="82">
        <f>IF(D$603,116.2,NA())</f>
        <v>116.2</v>
      </c>
      <c r="E649" s="82" t="e">
        <f>IF(E$603,54.56,NA())</f>
        <v>#N/A</v>
      </c>
      <c r="F649" s="82" t="e">
        <f>IF(F$603,67.68,NA())</f>
        <v>#N/A</v>
      </c>
      <c r="G649" s="82">
        <f>IF(G$603,41.73,NA())</f>
        <v>41.73</v>
      </c>
      <c r="H649" s="82" t="e">
        <f>IF(H$603,70.69,NA())</f>
        <v>#N/A</v>
      </c>
      <c r="I649" s="82">
        <f>IF(I$603,54.33,NA())</f>
        <v>54.33</v>
      </c>
      <c r="J649" s="82" t="e">
        <f>NA()</f>
        <v>#N/A</v>
      </c>
      <c r="K649" s="82">
        <f>IF(K$603,71.37,NA())</f>
        <v>71.37</v>
      </c>
      <c r="L649" s="82">
        <f>IF(L$603,43.07,NA())</f>
        <v>43.07</v>
      </c>
      <c r="M649" s="82">
        <f>IF(M$603,104.22,NA())</f>
        <v>104.22</v>
      </c>
      <c r="N649" s="82">
        <f>IF(N$603,71.01,NA())</f>
        <v>71.010000000000005</v>
      </c>
      <c r="O649" s="82">
        <f>IF(O$603,35.97,NA())</f>
        <v>35.97</v>
      </c>
      <c r="P649" s="82">
        <f>IF(P$603,35.32,NA())</f>
        <v>35.32</v>
      </c>
      <c r="Q649" s="82">
        <f>IF(Q$603,56.44,NA())</f>
        <v>56.44</v>
      </c>
      <c r="R649" s="82">
        <f>IF(R$603,45.48,NA())</f>
        <v>45.48</v>
      </c>
      <c r="S649" s="82">
        <f>IF(S$603,90.18,NA())</f>
        <v>90.18</v>
      </c>
      <c r="T649" s="82">
        <f>IF(T$603,61.18,NA())</f>
        <v>61.18</v>
      </c>
      <c r="U649" s="82">
        <f>IF(U$603,102.93,NA())</f>
        <v>102.93</v>
      </c>
      <c r="V649" s="82">
        <f>IF(V$603,36.85,NA())</f>
        <v>36.85</v>
      </c>
      <c r="W649" s="82">
        <f>IF(W$603,73.2,NA())</f>
        <v>73.2</v>
      </c>
      <c r="X649" s="82">
        <f>IF(X$603,64.56,NA())</f>
        <v>64.56</v>
      </c>
      <c r="Y649" s="82">
        <f>IF(Y$603,48.86,NA())</f>
        <v>48.86</v>
      </c>
      <c r="Z649" s="82">
        <f>IF(Z$603,69.51,NA())</f>
        <v>69.510000000000005</v>
      </c>
      <c r="AA649" s="82">
        <f>IF(AA$603,55.1,NA())</f>
        <v>55.1</v>
      </c>
      <c r="AB649" s="82" t="e">
        <f>NA()</f>
        <v>#N/A</v>
      </c>
      <c r="AC649" s="82">
        <f>IF(AC$603,64.89,NA())</f>
        <v>64.89</v>
      </c>
      <c r="AD649" s="82" t="e">
        <f>IF(AD$603,65.47,NA())</f>
        <v>#N/A</v>
      </c>
      <c r="AE649" s="82" t="e">
        <f>IF(AE$603,63.23,NA())</f>
        <v>#N/A</v>
      </c>
      <c r="AF649" s="82" t="e">
        <f>IF(AF$603,52.05,NA())</f>
        <v>#N/A</v>
      </c>
      <c r="AG649" s="82" t="e">
        <f>IF(AG$603,54.39,NA())</f>
        <v>#N/A</v>
      </c>
      <c r="AH649" s="82" t="e">
        <f>IF(AH$603,44.25,NA())</f>
        <v>#N/A</v>
      </c>
      <c r="AI649" s="82" t="e">
        <f>IF(AI$603,35.41,NA())</f>
        <v>#N/A</v>
      </c>
      <c r="AJ649" s="82" t="e">
        <f>IF(AJ$603,98.01,NA())</f>
        <v>#N/A</v>
      </c>
      <c r="AK649" s="82" t="e">
        <f>IF(AK$603,68.45,NA())</f>
        <v>#N/A</v>
      </c>
      <c r="AL649" s="82" t="e">
        <f>IF(AL$603,39.62,NA())</f>
        <v>#N/A</v>
      </c>
      <c r="AM649" s="82" t="e">
        <f>IF(AM$603,24.11,NA())</f>
        <v>#N/A</v>
      </c>
      <c r="AN649" s="82" t="e">
        <f>IF(AN$603,64.75,NA())</f>
        <v>#N/A</v>
      </c>
      <c r="AO649" s="82" t="e">
        <f>IF(AO$603,44.44,NA())</f>
        <v>#N/A</v>
      </c>
      <c r="AP649" s="82" t="e">
        <f>IF(AP$603,53.97,NA())</f>
        <v>#N/A</v>
      </c>
      <c r="AQ649" s="82" t="e">
        <f>IF(AQ$603,49.48,NA())</f>
        <v>#N/A</v>
      </c>
      <c r="AR649" s="82" t="e">
        <f>IF(AR$603,35.97,NA())</f>
        <v>#N/A</v>
      </c>
      <c r="AS649" s="82" t="e">
        <f>IF(AS$603,52.37,NA())</f>
        <v>#N/A</v>
      </c>
      <c r="AT649" s="82" t="e">
        <f>IF(AT$603,61.5,NA())</f>
        <v>#N/A</v>
      </c>
      <c r="AU649" s="82" t="e">
        <f>IF(AU$603,37.24,NA())</f>
        <v>#N/A</v>
      </c>
      <c r="AV649" s="82" t="e">
        <f>IF(AV$603,44.26,NA())</f>
        <v>#N/A</v>
      </c>
      <c r="AW649" s="82" t="e">
        <f>IF(AW$603,68.87,NA())</f>
        <v>#N/A</v>
      </c>
      <c r="AX649" s="82" t="e">
        <f>IF(AX$603,27.21,NA())</f>
        <v>#N/A</v>
      </c>
      <c r="AY649" s="82" t="e">
        <f>IF(AY$603,62.49,NA())</f>
        <v>#N/A</v>
      </c>
    </row>
    <row r="650" spans="1:51" x14ac:dyDescent="0.3">
      <c r="A650" s="81" t="s">
        <v>124</v>
      </c>
      <c r="B650" s="82" t="e">
        <f>IF(B$603,145.71,NA())</f>
        <v>#VALUE!</v>
      </c>
      <c r="C650" s="82" t="e">
        <f>IF(C$603,52.61,NA())</f>
        <v>#VALUE!</v>
      </c>
      <c r="D650" s="82">
        <f>IF(D$603,115.13,NA())</f>
        <v>115.13</v>
      </c>
      <c r="E650" s="82" t="e">
        <f>IF(E$603,57.32,NA())</f>
        <v>#N/A</v>
      </c>
      <c r="F650" s="82" t="e">
        <f>IF(F$603,67.68,NA())</f>
        <v>#N/A</v>
      </c>
      <c r="G650" s="82">
        <f>IF(G$603,42.45,NA())</f>
        <v>42.45</v>
      </c>
      <c r="H650" s="82" t="e">
        <f>IF(H$603,74.08,NA())</f>
        <v>#N/A</v>
      </c>
      <c r="I650" s="82">
        <f>IF(I$603,55.79,NA())</f>
        <v>55.79</v>
      </c>
      <c r="J650" s="82" t="e">
        <f>NA()</f>
        <v>#N/A</v>
      </c>
      <c r="K650" s="82">
        <f>IF(K$603,74.26,NA())</f>
        <v>74.260000000000005</v>
      </c>
      <c r="L650" s="82">
        <f>IF(L$603,45.27,NA())</f>
        <v>45.27</v>
      </c>
      <c r="M650" s="82">
        <f>IF(M$603,107.25,NA())</f>
        <v>107.25</v>
      </c>
      <c r="N650" s="82">
        <f>IF(N$603,67.99,NA())</f>
        <v>67.989999999999995</v>
      </c>
      <c r="O650" s="82">
        <f>IF(O$603,37.91,NA())</f>
        <v>37.909999999999997</v>
      </c>
      <c r="P650" s="82">
        <f>IF(P$603,35.76,NA())</f>
        <v>35.76</v>
      </c>
      <c r="Q650" s="82">
        <f>IF(Q$603,56.44,NA())</f>
        <v>56.44</v>
      </c>
      <c r="R650" s="82">
        <f>IF(R$603,46.96,NA())</f>
        <v>46.96</v>
      </c>
      <c r="S650" s="82">
        <f>IF(S$603,89.99,NA())</f>
        <v>89.99</v>
      </c>
      <c r="T650" s="82">
        <f>IF(T$603,62.82,NA())</f>
        <v>62.82</v>
      </c>
      <c r="U650" s="82">
        <f>IF(U$603,102.93,NA())</f>
        <v>102.93</v>
      </c>
      <c r="V650" s="82">
        <f>IF(V$603,39.48,NA())</f>
        <v>39.479999999999997</v>
      </c>
      <c r="W650" s="82">
        <f>IF(W$603,76.76,NA())</f>
        <v>76.760000000000005</v>
      </c>
      <c r="X650" s="82">
        <f>IF(X$603,64.99,NA())</f>
        <v>64.989999999999995</v>
      </c>
      <c r="Y650" s="82">
        <f>IF(Y$603,47.1,NA())</f>
        <v>47.1</v>
      </c>
      <c r="Z650" s="82">
        <f>IF(Z$603,67.36,NA())</f>
        <v>67.36</v>
      </c>
      <c r="AA650" s="82">
        <f>IF(AA$603,57.14,NA())</f>
        <v>57.14</v>
      </c>
      <c r="AB650" s="82" t="e">
        <f>NA()</f>
        <v>#N/A</v>
      </c>
      <c r="AC650" s="82">
        <f>IF(AC$603,65.3,NA())</f>
        <v>65.3</v>
      </c>
      <c r="AD650" s="82" t="e">
        <f>IF(AD$603,63.54,NA())</f>
        <v>#N/A</v>
      </c>
      <c r="AE650" s="82" t="e">
        <f>IF(AE$603,63.23,NA())</f>
        <v>#N/A</v>
      </c>
      <c r="AF650" s="82" t="e">
        <f>IF(AF$603,51.13,NA())</f>
        <v>#N/A</v>
      </c>
      <c r="AG650" s="82" t="e">
        <f>IF(AG$603,52.9,NA())</f>
        <v>#N/A</v>
      </c>
      <c r="AH650" s="82" t="e">
        <f>IF(AH$603,43.74,NA())</f>
        <v>#N/A</v>
      </c>
      <c r="AI650" s="82" t="e">
        <f>IF(AI$603,35.41,NA())</f>
        <v>#N/A</v>
      </c>
      <c r="AJ650" s="82" t="e">
        <f>IF(AJ$603,98.44,NA())</f>
        <v>#N/A</v>
      </c>
      <c r="AK650" s="82" t="e">
        <f>IF(AK$603,68.67,NA())</f>
        <v>#N/A</v>
      </c>
      <c r="AL650" s="82" t="e">
        <f>IF(AL$603,37.63,NA())</f>
        <v>#N/A</v>
      </c>
      <c r="AM650" s="82" t="e">
        <f>IF(AM$603,21.36,NA())</f>
        <v>#N/A</v>
      </c>
      <c r="AN650" s="82" t="e">
        <f>IF(AN$603,64.49,NA())</f>
        <v>#N/A</v>
      </c>
      <c r="AO650" s="82" t="e">
        <f>IF(AO$603,45.83,NA())</f>
        <v>#N/A</v>
      </c>
      <c r="AP650" s="82" t="e">
        <f>IF(AP$603,54.49,NA())</f>
        <v>#N/A</v>
      </c>
      <c r="AQ650" s="82" t="e">
        <f>IF(AQ$603,53.42,NA())</f>
        <v>#N/A</v>
      </c>
      <c r="AR650" s="82" t="e">
        <f>IF(AR$603,33.16,NA())</f>
        <v>#N/A</v>
      </c>
      <c r="AS650" s="82" t="e">
        <f>IF(AS$603,52.03,NA())</f>
        <v>#N/A</v>
      </c>
      <c r="AT650" s="82" t="e">
        <f>IF(AT$603,61.5,NA())</f>
        <v>#N/A</v>
      </c>
      <c r="AU650" s="82" t="e">
        <f>IF(AU$603,36.29,NA())</f>
        <v>#N/A</v>
      </c>
      <c r="AV650" s="82" t="e">
        <f>IF(AV$603,44.26,NA())</f>
        <v>#N/A</v>
      </c>
      <c r="AW650" s="82" t="e">
        <f>IF(AW$603,62.88,NA())</f>
        <v>#N/A</v>
      </c>
      <c r="AX650" s="82" t="e">
        <f>IF(AX$603,28.06,NA())</f>
        <v>#N/A</v>
      </c>
      <c r="AY650" s="82" t="e">
        <f>IF(AY$603,61.88,NA())</f>
        <v>#N/A</v>
      </c>
    </row>
    <row r="651" spans="1:51" x14ac:dyDescent="0.3">
      <c r="A651" s="81" t="s">
        <v>125</v>
      </c>
      <c r="B651" s="82" t="e">
        <f>IF(B$603,147.99,NA())</f>
        <v>#VALUE!</v>
      </c>
      <c r="C651" s="82" t="e">
        <f>IF(C$603,50.07,NA())</f>
        <v>#VALUE!</v>
      </c>
      <c r="D651" s="82">
        <f>IF(D$603,113.34,NA())</f>
        <v>113.34</v>
      </c>
      <c r="E651" s="82" t="e">
        <f>IF(E$603,62.85,NA())</f>
        <v>#N/A</v>
      </c>
      <c r="F651" s="82" t="e">
        <f>IF(F$603,65.76,NA())</f>
        <v>#N/A</v>
      </c>
      <c r="G651" s="82">
        <f>IF(G$603,42.99,NA())</f>
        <v>42.99</v>
      </c>
      <c r="H651" s="82" t="e">
        <f>IF(H$603,74.56,NA())</f>
        <v>#N/A</v>
      </c>
      <c r="I651" s="82">
        <f>IF(I$603,57.65,NA())</f>
        <v>57.65</v>
      </c>
      <c r="J651" s="82" t="e">
        <f>NA()</f>
        <v>#N/A</v>
      </c>
      <c r="K651" s="82">
        <f>IF(K$603,77.52,NA())</f>
        <v>77.52</v>
      </c>
      <c r="L651" s="82">
        <f>IF(L$603,45.27,NA())</f>
        <v>45.27</v>
      </c>
      <c r="M651" s="82">
        <f>IF(M$603,108.35,NA())</f>
        <v>108.35</v>
      </c>
      <c r="N651" s="82">
        <f>IF(N$603,62.7,NA())</f>
        <v>62.7</v>
      </c>
      <c r="O651" s="82">
        <f>IF(O$603,42.94,NA())</f>
        <v>42.94</v>
      </c>
      <c r="P651" s="82">
        <f>IF(P$603,36.21,NA())</f>
        <v>36.21</v>
      </c>
      <c r="Q651" s="82">
        <f>IF(Q$603,55.5,NA())</f>
        <v>55.5</v>
      </c>
      <c r="R651" s="82">
        <f>IF(R$603,49.09,NA())</f>
        <v>49.09</v>
      </c>
      <c r="S651" s="82">
        <f>IF(S$603,86.43,NA())</f>
        <v>86.43</v>
      </c>
      <c r="T651" s="82">
        <f>IF(T$603,62.23,NA())</f>
        <v>62.23</v>
      </c>
      <c r="U651" s="82">
        <f>IF(U$603,106.95,NA())</f>
        <v>106.95</v>
      </c>
      <c r="V651" s="82">
        <f>IF(V$603,38.6,NA())</f>
        <v>38.6</v>
      </c>
      <c r="W651" s="82">
        <f>IF(W$603,77.18,NA())</f>
        <v>77.180000000000007</v>
      </c>
      <c r="X651" s="82">
        <f>IF(X$603,63.7,NA())</f>
        <v>63.7</v>
      </c>
      <c r="Y651" s="82">
        <f>IF(Y$603,44.15,NA())</f>
        <v>44.15</v>
      </c>
      <c r="Z651" s="82">
        <f>IF(Z$603,65.21,NA())</f>
        <v>65.209999999999994</v>
      </c>
      <c r="AA651" s="82">
        <f>IF(AA$603,61.9,NA())</f>
        <v>61.9</v>
      </c>
      <c r="AB651" s="82" t="e">
        <f>NA()</f>
        <v>#N/A</v>
      </c>
      <c r="AC651" s="82">
        <f>IF(AC$603,63.67,NA())</f>
        <v>63.67</v>
      </c>
      <c r="AD651" s="82" t="e">
        <f>IF(AD$603,58.73,NA())</f>
        <v>#N/A</v>
      </c>
      <c r="AE651" s="82" t="e">
        <f>IF(AE$603,63.08,NA())</f>
        <v>#N/A</v>
      </c>
      <c r="AF651" s="82" t="e">
        <f>IF(AF$603,54.79,NA())</f>
        <v>#N/A</v>
      </c>
      <c r="AG651" s="82" t="e">
        <f>IF(AG$603,54.39,NA())</f>
        <v>#N/A</v>
      </c>
      <c r="AH651" s="82" t="e">
        <f>IF(AH$603,41.16,NA())</f>
        <v>#N/A</v>
      </c>
      <c r="AI651" s="82" t="e">
        <f>IF(AI$603,37.67,NA())</f>
        <v>#N/A</v>
      </c>
      <c r="AJ651" s="82" t="e">
        <f>IF(AJ$603,96.3,NA())</f>
        <v>#N/A</v>
      </c>
      <c r="AK651" s="82" t="e">
        <f>IF(AK$603,70.07,NA())</f>
        <v>#N/A</v>
      </c>
      <c r="AL651" s="82" t="e">
        <f>IF(AL$603,39.29,NA())</f>
        <v>#N/A</v>
      </c>
      <c r="AM651" s="82" t="e">
        <f>IF(AM$603,20.67,NA())</f>
        <v>#N/A</v>
      </c>
      <c r="AN651" s="82" t="e">
        <f>IF(AN$603,64.87,NA())</f>
        <v>#N/A</v>
      </c>
      <c r="AO651" s="82" t="e">
        <f>IF(AO$603,45.09,NA())</f>
        <v>#N/A</v>
      </c>
      <c r="AP651" s="82" t="e">
        <f>IF(AP$603,53.97,NA())</f>
        <v>#N/A</v>
      </c>
      <c r="AQ651" s="82" t="e">
        <f>IF(AQ$603,52.24,NA())</f>
        <v>#N/A</v>
      </c>
      <c r="AR651" s="82" t="e">
        <f>IF(AR$603,32.03,NA())</f>
        <v>#N/A</v>
      </c>
      <c r="AS651" s="82" t="e">
        <f>IF(AS$603,51.35,NA())</f>
        <v>#N/A</v>
      </c>
      <c r="AT651" s="82" t="e">
        <f>IF(AT$603,61.83,NA())</f>
        <v>#N/A</v>
      </c>
      <c r="AU651" s="82" t="e">
        <f>IF(AU$603,36.29,NA())</f>
        <v>#N/A</v>
      </c>
      <c r="AV651" s="82" t="e">
        <f>IF(AV$603,46.39,NA())</f>
        <v>#N/A</v>
      </c>
      <c r="AW651" s="82" t="e">
        <f>IF(AW$603,63.88,NA())</f>
        <v>#N/A</v>
      </c>
      <c r="AX651" s="82" t="e">
        <f>IF(AX$603,31.46,NA())</f>
        <v>#N/A</v>
      </c>
      <c r="AY651" s="82" t="e">
        <f>IF(AY$603,58.86,NA())</f>
        <v>#N/A</v>
      </c>
    </row>
    <row r="652" spans="1:51" x14ac:dyDescent="0.3">
      <c r="A652" s="81" t="s">
        <v>126</v>
      </c>
      <c r="B652" s="82" t="e">
        <f>IF(B$603,151.86,NA())</f>
        <v>#VALUE!</v>
      </c>
      <c r="C652" s="82" t="e">
        <f>IF(C$603,51.34,NA())</f>
        <v>#VALUE!</v>
      </c>
      <c r="D652" s="82">
        <f>IF(D$603,110.84,NA())</f>
        <v>110.84</v>
      </c>
      <c r="E652" s="82" t="e">
        <f>IF(E$603,64.23,NA())</f>
        <v>#N/A</v>
      </c>
      <c r="F652" s="82" t="e">
        <f>IF(F$603,67.2,NA())</f>
        <v>#N/A</v>
      </c>
      <c r="G652" s="82">
        <f>IF(G$603,41.01,NA())</f>
        <v>41.01</v>
      </c>
      <c r="H652" s="82" t="e">
        <f>IF(H$603,76.73,NA())</f>
        <v>#N/A</v>
      </c>
      <c r="I652" s="82">
        <f>IF(I$603,59.25,NA())</f>
        <v>59.25</v>
      </c>
      <c r="J652" s="82" t="e">
        <f>NA()</f>
        <v>#N/A</v>
      </c>
      <c r="K652" s="82">
        <f>IF(K$603,81.67,NA())</f>
        <v>81.67</v>
      </c>
      <c r="L652" s="82">
        <f>IF(L$603,45.81,NA())</f>
        <v>45.81</v>
      </c>
      <c r="M652" s="82">
        <f>IF(M$603,106.7,NA())</f>
        <v>106.7</v>
      </c>
      <c r="N652" s="82">
        <f>IF(N$603,64.96,NA())</f>
        <v>64.959999999999994</v>
      </c>
      <c r="O652" s="82">
        <f>IF(O$603,42.55,NA())</f>
        <v>42.55</v>
      </c>
      <c r="P652" s="82">
        <f>IF(P$603,36.65,NA())</f>
        <v>36.65</v>
      </c>
      <c r="Q652" s="82">
        <f>IF(Q$603,62.09,NA())</f>
        <v>62.09</v>
      </c>
      <c r="R652" s="82">
        <f>IF(R$603,49.41,NA())</f>
        <v>49.41</v>
      </c>
      <c r="S652" s="82">
        <f>IF(S$603,85.64,NA())</f>
        <v>85.64</v>
      </c>
      <c r="T652" s="82">
        <f>IF(T$603,60.89,NA())</f>
        <v>60.89</v>
      </c>
      <c r="U652" s="82">
        <f>IF(U$603,107.53,NA())</f>
        <v>107.53</v>
      </c>
      <c r="V652" s="82">
        <f>IF(V$603,42.99,NA())</f>
        <v>42.99</v>
      </c>
      <c r="W652" s="82">
        <f>IF(W$603,76.63,NA())</f>
        <v>76.63</v>
      </c>
      <c r="X652" s="82">
        <f>IF(X$603,65.07,NA())</f>
        <v>65.069999999999993</v>
      </c>
      <c r="Y652" s="82">
        <f>IF(Y$603,41.8,NA())</f>
        <v>41.8</v>
      </c>
      <c r="Z652" s="82">
        <f>IF(Z$603,63.77,NA())</f>
        <v>63.77</v>
      </c>
      <c r="AA652" s="82">
        <f>IF(AA$603,60.54,NA())</f>
        <v>60.54</v>
      </c>
      <c r="AB652" s="82" t="e">
        <f>NA()</f>
        <v>#N/A</v>
      </c>
      <c r="AC652" s="82">
        <f>IF(AC$603,61.02,NA())</f>
        <v>61.02</v>
      </c>
      <c r="AD652" s="82" t="e">
        <f>IF(AD$603,58.73,NA())</f>
        <v>#N/A</v>
      </c>
      <c r="AE652" s="82" t="e">
        <f>IF(AE$603,61.23,NA())</f>
        <v>#N/A</v>
      </c>
      <c r="AF652" s="82" t="e">
        <f>IF(AF$603,51.13,NA())</f>
        <v>#N/A</v>
      </c>
      <c r="AG652" s="82" t="e">
        <f>IF(AG$603,49.17,NA())</f>
        <v>#N/A</v>
      </c>
      <c r="AH652" s="82" t="e">
        <f>IF(AH$603,40.65,NA())</f>
        <v>#N/A</v>
      </c>
      <c r="AI652" s="82" t="e">
        <f>IF(AI$603,36.16,NA())</f>
        <v>#N/A</v>
      </c>
      <c r="AJ652" s="82" t="e">
        <f>IF(AJ$603,95.87,NA())</f>
        <v>#N/A</v>
      </c>
      <c r="AK652" s="82" t="e">
        <f>IF(AK$603,69.1,NA())</f>
        <v>#N/A</v>
      </c>
      <c r="AL652" s="82" t="e">
        <f>IF(AL$603,40.28,NA())</f>
        <v>#N/A</v>
      </c>
      <c r="AM652" s="82" t="e">
        <f>IF(AM$603,20.67,NA())</f>
        <v>#N/A</v>
      </c>
      <c r="AN652" s="82" t="e">
        <f>IF(AN$603,63.23,NA())</f>
        <v>#N/A</v>
      </c>
      <c r="AO652" s="82" t="e">
        <f>IF(AO$603,45.18,NA())</f>
        <v>#N/A</v>
      </c>
      <c r="AP652" s="82" t="e">
        <f>IF(AP$603,56.05,NA())</f>
        <v>#N/A</v>
      </c>
      <c r="AQ652" s="82" t="e">
        <f>IF(AQ$603,52.83,NA())</f>
        <v>#N/A</v>
      </c>
      <c r="AR652" s="82" t="e">
        <f>IF(AR$603,30.35,NA())</f>
        <v>#N/A</v>
      </c>
      <c r="AS652" s="82" t="e">
        <f>IF(AS$603,50.16,NA())</f>
        <v>#N/A</v>
      </c>
      <c r="AT652" s="82" t="e">
        <f>IF(AT$603,60.73,NA())</f>
        <v>#N/A</v>
      </c>
      <c r="AU652" s="82" t="e">
        <f>IF(AU$603,35.33,NA())</f>
        <v>#N/A</v>
      </c>
      <c r="AV652" s="82" t="e">
        <f>IF(AV$603,46.82,NA())</f>
        <v>#N/A</v>
      </c>
      <c r="AW652" s="82" t="e">
        <f>IF(AW$603,61.89,NA())</f>
        <v>#N/A</v>
      </c>
      <c r="AX652" s="82" t="e">
        <f>IF(AX$603,34.01,NA())</f>
        <v>#N/A</v>
      </c>
      <c r="AY652" s="82" t="e">
        <f>IF(AY$603,60.07,NA())</f>
        <v>#N/A</v>
      </c>
    </row>
    <row r="653" spans="1:51" x14ac:dyDescent="0.3">
      <c r="A653" s="81" t="s">
        <v>127</v>
      </c>
      <c r="B653" s="82" t="e">
        <f>IF(B$603,149.22,NA())</f>
        <v>#VALUE!</v>
      </c>
      <c r="C653" s="82" t="e">
        <f>IF(C$603,50.71,NA())</f>
        <v>#VALUE!</v>
      </c>
      <c r="D653" s="82">
        <f>IF(D$603,110.12,NA())</f>
        <v>110.12</v>
      </c>
      <c r="E653" s="82" t="e">
        <f>IF(E$603,67.33,NA())</f>
        <v>#N/A</v>
      </c>
      <c r="F653" s="82" t="e">
        <f>IF(F$603,66.72,NA())</f>
        <v>#N/A</v>
      </c>
      <c r="G653" s="82">
        <f>IF(G$603,40.65,NA())</f>
        <v>40.65</v>
      </c>
      <c r="H653" s="82" t="e">
        <f>IF(H$603,76.98,NA())</f>
        <v>#N/A</v>
      </c>
      <c r="I653" s="82">
        <f>IF(I$603,58.45,NA())</f>
        <v>58.45</v>
      </c>
      <c r="J653" s="82" t="e">
        <f>NA()</f>
        <v>#N/A</v>
      </c>
      <c r="K653" s="82">
        <f>IF(K$603,79.78,NA())</f>
        <v>79.78</v>
      </c>
      <c r="L653" s="82">
        <f>IF(L$603,47.87,NA())</f>
        <v>47.87</v>
      </c>
      <c r="M653" s="82">
        <f>IF(M$603,105.87,NA())</f>
        <v>105.87</v>
      </c>
      <c r="N653" s="82">
        <f>IF(N$603,62.7,NA())</f>
        <v>62.7</v>
      </c>
      <c r="O653" s="82">
        <f>IF(O$603,42.55,NA())</f>
        <v>42.55</v>
      </c>
      <c r="P653" s="82">
        <f>IF(P$603,35.76,NA())</f>
        <v>35.76</v>
      </c>
      <c r="Q653" s="82">
        <f>IF(Q$603,55.5,NA())</f>
        <v>55.5</v>
      </c>
      <c r="R653" s="82">
        <f>IF(R$603,49.83,NA())</f>
        <v>49.83</v>
      </c>
      <c r="S653" s="82">
        <f>IF(S$603,84.66,NA())</f>
        <v>84.66</v>
      </c>
      <c r="T653" s="82">
        <f>IF(T$603,58.95,NA())</f>
        <v>58.95</v>
      </c>
      <c r="U653" s="82">
        <f>IF(U$603,108.68,NA())</f>
        <v>108.68</v>
      </c>
      <c r="V653" s="82">
        <f>IF(V$603,46.5,NA())</f>
        <v>46.5</v>
      </c>
      <c r="W653" s="82">
        <f>IF(W$603,74.02,NA())</f>
        <v>74.02</v>
      </c>
      <c r="X653" s="82">
        <f>IF(X$603,64.56,NA())</f>
        <v>64.56</v>
      </c>
      <c r="Y653" s="82">
        <f>IF(Y$603,40.62,NA())</f>
        <v>40.619999999999997</v>
      </c>
      <c r="Z653" s="82">
        <f>IF(Z$603,61.98,NA())</f>
        <v>61.98</v>
      </c>
      <c r="AA653" s="82">
        <f>IF(AA$603,59.18,NA())</f>
        <v>59.18</v>
      </c>
      <c r="AB653" s="82" t="e">
        <f>NA()</f>
        <v>#N/A</v>
      </c>
      <c r="AC653" s="82">
        <f>IF(AC$603,60.61,NA())</f>
        <v>60.61</v>
      </c>
      <c r="AD653" s="82" t="e">
        <f>IF(AD$603,56.81,NA())</f>
        <v>#N/A</v>
      </c>
      <c r="AE653" s="82" t="e">
        <f>IF(AE$603,60.8,NA())</f>
        <v>#N/A</v>
      </c>
      <c r="AF653" s="82" t="e">
        <f>IF(AF$603,50.22,NA())</f>
        <v>#N/A</v>
      </c>
      <c r="AG653" s="82" t="e">
        <f>IF(AG$603,46.19,NA())</f>
        <v>#N/A</v>
      </c>
      <c r="AH653" s="82" t="e">
        <f>IF(AH$603,39.11,NA())</f>
        <v>#N/A</v>
      </c>
      <c r="AI653" s="82" t="e">
        <f>IF(AI$603,37.67,NA())</f>
        <v>#N/A</v>
      </c>
      <c r="AJ653" s="82" t="e">
        <f>IF(AJ$603,95.44,NA())</f>
        <v>#N/A</v>
      </c>
      <c r="AK653" s="82" t="e">
        <f>IF(AK$603,70.72,NA())</f>
        <v>#N/A</v>
      </c>
      <c r="AL653" s="82" t="e">
        <f>IF(AL$603,40.61,NA())</f>
        <v>#N/A</v>
      </c>
      <c r="AM653" s="82" t="e">
        <f>IF(AM$603,22.04,NA())</f>
        <v>#N/A</v>
      </c>
      <c r="AN653" s="82" t="e">
        <f>IF(AN$603,62.23,NA())</f>
        <v>#N/A</v>
      </c>
      <c r="AO653" s="82" t="e">
        <f>IF(AO$603,44.9,NA())</f>
        <v>#N/A</v>
      </c>
      <c r="AP653" s="82" t="e">
        <f>IF(AP$603,55.53,NA())</f>
        <v>#N/A</v>
      </c>
      <c r="AQ653" s="82" t="e">
        <f>IF(AQ$603,50.47,NA())</f>
        <v>#N/A</v>
      </c>
      <c r="AR653" s="82" t="e">
        <f>IF(AR$603,30.91,NA())</f>
        <v>#N/A</v>
      </c>
      <c r="AS653" s="82" t="e">
        <f>IF(AS$603,50.84,NA())</f>
        <v>#N/A</v>
      </c>
      <c r="AT653" s="82" t="e">
        <f>IF(AT$603,58.87,NA())</f>
        <v>#N/A</v>
      </c>
      <c r="AU653" s="82" t="e">
        <f>IF(AU$603,33.42,NA())</f>
        <v>#N/A</v>
      </c>
      <c r="AV653" s="82" t="e">
        <f>IF(AV$603,46.82,NA())</f>
        <v>#N/A</v>
      </c>
      <c r="AW653" s="82" t="e">
        <f>IF(AW$603,58.89,NA())</f>
        <v>#N/A</v>
      </c>
      <c r="AX653" s="82" t="e">
        <f>IF(AX$603,35.71,NA())</f>
        <v>#N/A</v>
      </c>
      <c r="AY653" s="82" t="e">
        <f>IF(AY$603,60.37,NA())</f>
        <v>#N/A</v>
      </c>
    </row>
    <row r="654" spans="1:51" x14ac:dyDescent="0.3">
      <c r="A654" s="81" t="s">
        <v>128</v>
      </c>
      <c r="B654" s="82" t="e">
        <f>IF(B$603,148.87,NA())</f>
        <v>#VALUE!</v>
      </c>
      <c r="C654" s="82" t="e">
        <f>IF(C$603,54.51,NA())</f>
        <v>#VALUE!</v>
      </c>
      <c r="D654" s="82">
        <f>IF(D$603,109.05,NA())</f>
        <v>109.05</v>
      </c>
      <c r="E654" s="82" t="e">
        <f>IF(E$603,71.48,NA())</f>
        <v>#N/A</v>
      </c>
      <c r="F654" s="82" t="e">
        <f>IF(F$603,65.28,NA())</f>
        <v>#N/A</v>
      </c>
      <c r="G654" s="82">
        <f>IF(G$603,41.91,NA())</f>
        <v>41.91</v>
      </c>
      <c r="H654" s="82" t="e">
        <f>IF(H$603,74.68,NA())</f>
        <v>#N/A</v>
      </c>
      <c r="I654" s="82">
        <f>IF(I$603,57.12,NA())</f>
        <v>57.12</v>
      </c>
      <c r="J654" s="82" t="e">
        <f>NA()</f>
        <v>#N/A</v>
      </c>
      <c r="K654" s="82">
        <f>IF(K$603,80.04,NA())</f>
        <v>80.040000000000006</v>
      </c>
      <c r="L654" s="82">
        <f>IF(L$603,48.7,NA())</f>
        <v>48.7</v>
      </c>
      <c r="M654" s="82">
        <f>IF(M$603,103.94,NA())</f>
        <v>103.94</v>
      </c>
      <c r="N654" s="82">
        <f>IF(N$603,57.41,NA())</f>
        <v>57.41</v>
      </c>
      <c r="O654" s="82">
        <f>IF(O$603,41.78,NA())</f>
        <v>41.78</v>
      </c>
      <c r="P654" s="82">
        <f>IF(P$603,36.65,NA())</f>
        <v>36.65</v>
      </c>
      <c r="Q654" s="82">
        <f>IF(Q$603,57.38,NA())</f>
        <v>57.38</v>
      </c>
      <c r="R654" s="82">
        <f>IF(R$603,48.66,NA())</f>
        <v>48.66</v>
      </c>
      <c r="S654" s="82">
        <f>IF(S$603,84.85,NA())</f>
        <v>84.85</v>
      </c>
      <c r="T654" s="82">
        <f>IF(T$603,58.36,NA())</f>
        <v>58.36</v>
      </c>
      <c r="U654" s="82">
        <f>IF(U$603,110.4,NA())</f>
        <v>110.4</v>
      </c>
      <c r="V654" s="82">
        <f>IF(V$603,44.74,NA())</f>
        <v>44.74</v>
      </c>
      <c r="W654" s="82">
        <f>IF(W$603,73.06,NA())</f>
        <v>73.06</v>
      </c>
      <c r="X654" s="82">
        <f>IF(X$603,63.12,NA())</f>
        <v>63.12</v>
      </c>
      <c r="Y654" s="82">
        <f>IF(Y$603,41.21,NA())</f>
        <v>41.21</v>
      </c>
      <c r="Z654" s="82">
        <f>IF(Z$603,57.32,NA())</f>
        <v>57.32</v>
      </c>
      <c r="AA654" s="82">
        <f>IF(AA$603,57.14,NA())</f>
        <v>57.14</v>
      </c>
      <c r="AB654" s="82" t="e">
        <f>NA()</f>
        <v>#N/A</v>
      </c>
      <c r="AC654" s="82">
        <f>IF(AC$603,59.19,NA())</f>
        <v>59.19</v>
      </c>
      <c r="AD654" s="82" t="e">
        <f>IF(AD$603,54.88,NA())</f>
        <v>#N/A</v>
      </c>
      <c r="AE654" s="82" t="e">
        <f>IF(AE$603,60.8,NA())</f>
        <v>#N/A</v>
      </c>
      <c r="AF654" s="82" t="e">
        <f>IF(AF$603,51.13,NA())</f>
        <v>#N/A</v>
      </c>
      <c r="AG654" s="82" t="e">
        <f>IF(AG$603,43.21,NA())</f>
        <v>#N/A</v>
      </c>
      <c r="AH654" s="82" t="e">
        <f>IF(AH$603,39.62,NA())</f>
        <v>#N/A</v>
      </c>
      <c r="AI654" s="82" t="e">
        <f>IF(AI$603,40.68,NA())</f>
        <v>#N/A</v>
      </c>
      <c r="AJ654" s="82" t="e">
        <f>IF(AJ$603,91.59,NA())</f>
        <v>#N/A</v>
      </c>
      <c r="AK654" s="82" t="e">
        <f>IF(AK$603,69.21,NA())</f>
        <v>#N/A</v>
      </c>
      <c r="AL654" s="82" t="e">
        <f>IF(AL$603,39.62,NA())</f>
        <v>#N/A</v>
      </c>
      <c r="AM654" s="82" t="e">
        <f>IF(AM$603,24.8,NA())</f>
        <v>#N/A</v>
      </c>
      <c r="AN654" s="82" t="e">
        <f>IF(AN$603,63.74,NA())</f>
        <v>#N/A</v>
      </c>
      <c r="AO654" s="82" t="e">
        <f>IF(AO$603,43.7,NA())</f>
        <v>#N/A</v>
      </c>
      <c r="AP654" s="82" t="e">
        <f>IF(AP$603,55.53,NA())</f>
        <v>#N/A</v>
      </c>
      <c r="AQ654" s="82" t="e">
        <f>IF(AQ$603,50.47,NA())</f>
        <v>#N/A</v>
      </c>
      <c r="AR654" s="82" t="e">
        <f>IF(AR$603,29.78,NA())</f>
        <v>#N/A</v>
      </c>
      <c r="AS654" s="82" t="e">
        <f>IF(AS$603,48.63,NA())</f>
        <v>#N/A</v>
      </c>
      <c r="AT654" s="82" t="e">
        <f>IF(AT$603,55.9,NA())</f>
        <v>#N/A</v>
      </c>
      <c r="AU654" s="82" t="e">
        <f>IF(AU$603,34.38,NA())</f>
        <v>#N/A</v>
      </c>
      <c r="AV654" s="82" t="e">
        <f>IF(AV$603,49.8,NA())</f>
        <v>#N/A</v>
      </c>
      <c r="AW654" s="82" t="e">
        <f>IF(AW$603,52.9,NA())</f>
        <v>#N/A</v>
      </c>
      <c r="AX654" s="82" t="e">
        <f>IF(AX$603,34.01,NA())</f>
        <v>#N/A</v>
      </c>
      <c r="AY654" s="82" t="e">
        <f>IF(AY$603,60.98,NA())</f>
        <v>#N/A</v>
      </c>
    </row>
    <row r="655" spans="1:51" x14ac:dyDescent="0.3">
      <c r="A655" s="81" t="s">
        <v>129</v>
      </c>
      <c r="B655" s="82" t="e">
        <f>IF(B$603,150.98,NA())</f>
        <v>#VALUE!</v>
      </c>
      <c r="C655" s="82" t="e">
        <f>IF(C$603,50.07,NA())</f>
        <v>#VALUE!</v>
      </c>
      <c r="D655" s="82">
        <f>IF(D$603,106.9,NA())</f>
        <v>106.9</v>
      </c>
      <c r="E655" s="82" t="e">
        <f>IF(E$603,75.97,NA())</f>
        <v>#N/A</v>
      </c>
      <c r="F655" s="82" t="e">
        <f>IF(F$603,64.8,NA())</f>
        <v>#N/A</v>
      </c>
      <c r="G655" s="82">
        <f>IF(G$603,42.63,NA())</f>
        <v>42.63</v>
      </c>
      <c r="H655" s="82" t="e">
        <f>IF(H$603,72.99,NA())</f>
        <v>#N/A</v>
      </c>
      <c r="I655" s="82">
        <f>IF(I$603,57.39,NA())</f>
        <v>57.39</v>
      </c>
      <c r="J655" s="82" t="e">
        <f>NA()</f>
        <v>#N/A</v>
      </c>
      <c r="K655" s="82">
        <f>IF(K$603,83.93,NA())</f>
        <v>83.93</v>
      </c>
      <c r="L655" s="82">
        <f>IF(L$603,48.56,NA())</f>
        <v>48.56</v>
      </c>
      <c r="M655" s="82">
        <f>IF(M$603,95.95,NA())</f>
        <v>95.95</v>
      </c>
      <c r="N655" s="82">
        <f>IF(N$603,57.41,NA())</f>
        <v>57.41</v>
      </c>
      <c r="O655" s="82">
        <f>IF(O$603,42.94,NA())</f>
        <v>42.94</v>
      </c>
      <c r="P655" s="82">
        <f>IF(P$603,37.53,NA())</f>
        <v>37.53</v>
      </c>
      <c r="Q655" s="82">
        <f>IF(Q$603,58.32,NA())</f>
        <v>58.32</v>
      </c>
      <c r="R655" s="82">
        <f>IF(R$603,48.56,NA())</f>
        <v>48.56</v>
      </c>
      <c r="S655" s="82">
        <f>IF(S$603,84.66,NA())</f>
        <v>84.66</v>
      </c>
      <c r="T655" s="82">
        <f>IF(T$603,58.5,NA())</f>
        <v>58.5</v>
      </c>
      <c r="U655" s="82">
        <f>IF(U$603,108.1,NA())</f>
        <v>108.1</v>
      </c>
      <c r="V655" s="82">
        <f>IF(V$603,44.74,NA())</f>
        <v>44.74</v>
      </c>
      <c r="W655" s="82">
        <f>IF(W$603,72.65,NA())</f>
        <v>72.650000000000006</v>
      </c>
      <c r="X655" s="82">
        <f>IF(X$603,62.47,NA())</f>
        <v>62.47</v>
      </c>
      <c r="Y655" s="82">
        <f>IF(Y$603,40.62,NA())</f>
        <v>40.619999999999997</v>
      </c>
      <c r="Z655" s="82">
        <f>IF(Z$603,57.68,NA())</f>
        <v>57.68</v>
      </c>
      <c r="AA655" s="82">
        <f>IF(AA$603,56.46,NA())</f>
        <v>56.46</v>
      </c>
      <c r="AB655" s="82" t="e">
        <f>NA()</f>
        <v>#N/A</v>
      </c>
      <c r="AC655" s="82">
        <f>IF(AC$603,57.46,NA())</f>
        <v>57.46</v>
      </c>
      <c r="AD655" s="82" t="e">
        <f>IF(AD$603,58.73,NA())</f>
        <v>#N/A</v>
      </c>
      <c r="AE655" s="82" t="e">
        <f>IF(AE$603,59.38,NA())</f>
        <v>#N/A</v>
      </c>
      <c r="AF655" s="82" t="e">
        <f>IF(AF$603,51.13,NA())</f>
        <v>#N/A</v>
      </c>
      <c r="AG655" s="82" t="e">
        <f>IF(AG$603,45.45,NA())</f>
        <v>#N/A</v>
      </c>
      <c r="AH655" s="82" t="e">
        <f>IF(AH$603,37.56,NA())</f>
        <v>#N/A</v>
      </c>
      <c r="AI655" s="82" t="e">
        <f>IF(AI$603,41.44,NA())</f>
        <v>#N/A</v>
      </c>
      <c r="AJ655" s="82" t="e">
        <f>IF(AJ$603,89.45,NA())</f>
        <v>#N/A</v>
      </c>
      <c r="AK655" s="82" t="e">
        <f>IF(AK$603,67.26,NA())</f>
        <v>#N/A</v>
      </c>
      <c r="AL655" s="82" t="e">
        <f>IF(AL$603,39.29,NA())</f>
        <v>#N/A</v>
      </c>
      <c r="AM655" s="82" t="e">
        <f>IF(AM$603,25.49,NA())</f>
        <v>#N/A</v>
      </c>
      <c r="AN655" s="82" t="e">
        <f>IF(AN$603,63.23,NA())</f>
        <v>#N/A</v>
      </c>
      <c r="AO655" s="82" t="e">
        <f>IF(AO$603,42.96,NA())</f>
        <v>#N/A</v>
      </c>
      <c r="AP655" s="82" t="e">
        <f>IF(AP$603,52.93,NA())</f>
        <v>#N/A</v>
      </c>
      <c r="AQ655" s="82" t="e">
        <f>IF(AQ$603,50.27,NA())</f>
        <v>#N/A</v>
      </c>
      <c r="AR655" s="82" t="e">
        <f>IF(AR$603,29.78,NA())</f>
        <v>#N/A</v>
      </c>
      <c r="AS655" s="82" t="e">
        <f>IF(AS$603,47.1,NA())</f>
        <v>#N/A</v>
      </c>
      <c r="AT655" s="82" t="e">
        <f>IF(AT$603,55.13,NA())</f>
        <v>#N/A</v>
      </c>
      <c r="AU655" s="82" t="e">
        <f>IF(AU$603,33.42,NA())</f>
        <v>#N/A</v>
      </c>
      <c r="AV655" s="82" t="e">
        <f>IF(AV$603,52.35,NA())</f>
        <v>#N/A</v>
      </c>
      <c r="AW655" s="82" t="e">
        <f>IF(AW$603,46.91,NA())</f>
        <v>#N/A</v>
      </c>
      <c r="AX655" s="82" t="e">
        <f>IF(AX$603,34.86,NA())</f>
        <v>#N/A</v>
      </c>
      <c r="AY655" s="82" t="e">
        <f>IF(AY$603,59.47,NA())</f>
        <v>#N/A</v>
      </c>
    </row>
    <row r="656" spans="1:51" x14ac:dyDescent="0.3">
      <c r="A656" s="81" t="s">
        <v>130</v>
      </c>
      <c r="B656" s="82" t="e">
        <f>IF(B$603,150.46,NA())</f>
        <v>#VALUE!</v>
      </c>
      <c r="C656" s="82" t="e">
        <f>IF(C$603,49.44,NA())</f>
        <v>#VALUE!</v>
      </c>
      <c r="D656" s="82">
        <f>IF(D$603,100.82,NA())</f>
        <v>100.82</v>
      </c>
      <c r="E656" s="82" t="e">
        <f>IF(E$603,79.42,NA())</f>
        <v>#N/A</v>
      </c>
      <c r="F656" s="82" t="e">
        <f>IF(F$603,66.24,NA())</f>
        <v>#N/A</v>
      </c>
      <c r="G656" s="82">
        <f>IF(G$603,44.25,NA())</f>
        <v>44.25</v>
      </c>
      <c r="H656" s="82" t="e">
        <f>IF(H$603,73.59,NA())</f>
        <v>#N/A</v>
      </c>
      <c r="I656" s="82">
        <f>IF(I$603,58.05,NA())</f>
        <v>58.05</v>
      </c>
      <c r="J656" s="82" t="e">
        <f>NA()</f>
        <v>#N/A</v>
      </c>
      <c r="K656" s="82">
        <f>IF(K$603,84.56,NA())</f>
        <v>84.56</v>
      </c>
      <c r="L656" s="82">
        <f>IF(L$603,49.38,NA())</f>
        <v>49.38</v>
      </c>
      <c r="M656" s="82">
        <f>IF(M$603,94.02,NA())</f>
        <v>94.02</v>
      </c>
      <c r="N656" s="82">
        <f>IF(N$603,53.63,NA())</f>
        <v>53.63</v>
      </c>
      <c r="O656" s="82">
        <f>IF(O$603,42.55,NA())</f>
        <v>42.55</v>
      </c>
      <c r="P656" s="82">
        <f>IF(P$603,38.86,NA())</f>
        <v>38.86</v>
      </c>
      <c r="Q656" s="82">
        <f>IF(Q$603,53.62,NA())</f>
        <v>53.62</v>
      </c>
      <c r="R656" s="82">
        <f>IF(R$603,49.41,NA())</f>
        <v>49.41</v>
      </c>
      <c r="S656" s="82">
        <f>IF(S$603,83.67,NA())</f>
        <v>83.67</v>
      </c>
      <c r="T656" s="82">
        <f>IF(T$603,59.4,NA())</f>
        <v>59.4</v>
      </c>
      <c r="U656" s="82">
        <f>IF(U$603,110.98,NA())</f>
        <v>110.98</v>
      </c>
      <c r="V656" s="82">
        <f>IF(V$603,49.13,NA())</f>
        <v>49.13</v>
      </c>
      <c r="W656" s="82">
        <f>IF(W$603,71.97,NA())</f>
        <v>71.97</v>
      </c>
      <c r="X656" s="82">
        <f>IF(X$603,63.12,NA())</f>
        <v>63.12</v>
      </c>
      <c r="Y656" s="82">
        <f>IF(Y$603,39.44,NA())</f>
        <v>39.44</v>
      </c>
      <c r="Z656" s="82">
        <f>IF(Z$603,54.82,NA())</f>
        <v>54.82</v>
      </c>
      <c r="AA656" s="82">
        <f>IF(AA$603,57.82,NA())</f>
        <v>57.82</v>
      </c>
      <c r="AB656" s="82" t="e">
        <f>NA()</f>
        <v>#N/A</v>
      </c>
      <c r="AC656" s="82">
        <f>IF(AC$603,55.52,NA())</f>
        <v>55.52</v>
      </c>
      <c r="AD656" s="82" t="e">
        <f>IF(AD$603,58.73,NA())</f>
        <v>#N/A</v>
      </c>
      <c r="AE656" s="82" t="e">
        <f>IF(AE$603,58.67,NA())</f>
        <v>#N/A</v>
      </c>
      <c r="AF656" s="82" t="e">
        <f>IF(AF$603,47.48,NA())</f>
        <v>#N/A</v>
      </c>
      <c r="AG656" s="82" t="e">
        <f>IF(AG$603,48.43,NA())</f>
        <v>#N/A</v>
      </c>
      <c r="AH656" s="82" t="e">
        <f>IF(AH$603,34.47,NA())</f>
        <v>#N/A</v>
      </c>
      <c r="AI656" s="82" t="e">
        <f>IF(AI$603,40.68,NA())</f>
        <v>#N/A</v>
      </c>
      <c r="AJ656" s="82" t="e">
        <f>IF(AJ$603,84.31,NA())</f>
        <v>#N/A</v>
      </c>
      <c r="AK656" s="82" t="e">
        <f>IF(AK$603,67.91,NA())</f>
        <v>#N/A</v>
      </c>
      <c r="AL656" s="82" t="e">
        <f>IF(AL$603,40.28,NA())</f>
        <v>#N/A</v>
      </c>
      <c r="AM656" s="82" t="e">
        <f>IF(AM$603,25.49,NA())</f>
        <v>#N/A</v>
      </c>
      <c r="AN656" s="82" t="e">
        <f>IF(AN$603,60.71,NA())</f>
        <v>#N/A</v>
      </c>
      <c r="AO656" s="82" t="e">
        <f>IF(AO$603,43.33,NA())</f>
        <v>#N/A</v>
      </c>
      <c r="AP656" s="82" t="e">
        <f>IF(AP$603,51.38,NA())</f>
        <v>#N/A</v>
      </c>
      <c r="AQ656" s="82" t="e">
        <f>IF(AQ$603,50.86,NA())</f>
        <v>#N/A</v>
      </c>
      <c r="AR656" s="82" t="e">
        <f>IF(AR$603,30.35,NA())</f>
        <v>#N/A</v>
      </c>
      <c r="AS656" s="82" t="e">
        <f>IF(AS$603,46.42,NA())</f>
        <v>#N/A</v>
      </c>
      <c r="AT656" s="82" t="e">
        <f>IF(AT$603,53.27,NA())</f>
        <v>#N/A</v>
      </c>
      <c r="AU656" s="82" t="e">
        <f>IF(AU$603,33.42,NA())</f>
        <v>#N/A</v>
      </c>
      <c r="AV656" s="82" t="e">
        <f>IF(AV$603,52.78,NA())</f>
        <v>#N/A</v>
      </c>
      <c r="AW656" s="82" t="e">
        <f>IF(AW$603,55.9,NA())</f>
        <v>#N/A</v>
      </c>
      <c r="AX656" s="82" t="e">
        <f>IF(AX$603,35.71,NA())</f>
        <v>#N/A</v>
      </c>
      <c r="AY656" s="82" t="e">
        <f>IF(AY$603,58.86,NA())</f>
        <v>#N/A</v>
      </c>
    </row>
    <row r="657" spans="1:51" x14ac:dyDescent="0.3">
      <c r="A657" s="81" t="s">
        <v>131</v>
      </c>
      <c r="B657" s="82" t="e">
        <f>IF(B$603,146.58,NA())</f>
        <v>#VALUE!</v>
      </c>
      <c r="C657" s="82" t="e">
        <f>IF(C$603,48.17,NA())</f>
        <v>#VALUE!</v>
      </c>
      <c r="D657" s="82">
        <f>IF(D$603,94.39,NA())</f>
        <v>94.39</v>
      </c>
      <c r="E657" s="82" t="e">
        <f>IF(E$603,80.8,NA())</f>
        <v>#N/A</v>
      </c>
      <c r="F657" s="82" t="e">
        <f>IF(F$603,67.68,NA())</f>
        <v>#N/A</v>
      </c>
      <c r="G657" s="82">
        <f>IF(G$603,45.87,NA())</f>
        <v>45.87</v>
      </c>
      <c r="H657" s="82" t="e">
        <f>IF(H$603,74.8,NA())</f>
        <v>#N/A</v>
      </c>
      <c r="I657" s="82">
        <f>IF(I$603,58.72,NA())</f>
        <v>58.72</v>
      </c>
      <c r="J657" s="82" t="e">
        <f>NA()</f>
        <v>#N/A</v>
      </c>
      <c r="K657" s="82">
        <f>IF(K$603,84.06,NA())</f>
        <v>84.06</v>
      </c>
      <c r="L657" s="82">
        <f>IF(L$603,49.52,NA())</f>
        <v>49.52</v>
      </c>
      <c r="M657" s="82">
        <f>IF(M$603,90.16,NA())</f>
        <v>90.16</v>
      </c>
      <c r="N657" s="82">
        <f>IF(N$603,54.39,NA())</f>
        <v>54.39</v>
      </c>
      <c r="O657" s="82">
        <f>IF(O$603,45.26,NA())</f>
        <v>45.26</v>
      </c>
      <c r="P657" s="82">
        <f>IF(P$603,36.65,NA())</f>
        <v>36.65</v>
      </c>
      <c r="Q657" s="82">
        <f>IF(Q$603,54.56,NA())</f>
        <v>54.56</v>
      </c>
      <c r="R657" s="82">
        <f>IF(R$603,49.09,NA())</f>
        <v>49.09</v>
      </c>
      <c r="S657" s="82">
        <f>IF(S$603,79.53,NA())</f>
        <v>79.53</v>
      </c>
      <c r="T657" s="82">
        <f>IF(T$603,58.95,NA())</f>
        <v>58.95</v>
      </c>
      <c r="U657" s="82">
        <f>IF(U$603,106.38,NA())</f>
        <v>106.38</v>
      </c>
      <c r="V657" s="82">
        <f>IF(V$603,50.89,NA())</f>
        <v>50.89</v>
      </c>
      <c r="W657" s="82">
        <f>IF(W$603,71.14,NA())</f>
        <v>71.14</v>
      </c>
      <c r="X657" s="82">
        <f>IF(X$603,62.32,NA())</f>
        <v>62.32</v>
      </c>
      <c r="Y657" s="82">
        <f>IF(Y$603,37.68,NA())</f>
        <v>37.68</v>
      </c>
      <c r="Z657" s="82">
        <f>IF(Z$603,51.59,NA())</f>
        <v>51.59</v>
      </c>
      <c r="AA657" s="82">
        <f>IF(AA$603,57.14,NA())</f>
        <v>57.14</v>
      </c>
      <c r="AB657" s="82" t="e">
        <f>NA()</f>
        <v>#N/A</v>
      </c>
      <c r="AC657" s="82">
        <f>IF(AC$603,54.71,NA())</f>
        <v>54.71</v>
      </c>
      <c r="AD657" s="82" t="e">
        <f>IF(AD$603,59.69,NA())</f>
        <v>#N/A</v>
      </c>
      <c r="AE657" s="82" t="e">
        <f>IF(AE$603,56.67,NA())</f>
        <v>#N/A</v>
      </c>
      <c r="AF657" s="82" t="e">
        <f>IF(AF$603,47.48,NA())</f>
        <v>#N/A</v>
      </c>
      <c r="AG657" s="82" t="e">
        <f>IF(AG$603,49.92,NA())</f>
        <v>#N/A</v>
      </c>
      <c r="AH657" s="82" t="e">
        <f>IF(AH$603,32.93,NA())</f>
        <v>#N/A</v>
      </c>
      <c r="AI657" s="82" t="e">
        <f>IF(AI$603,44.45,NA())</f>
        <v>#N/A</v>
      </c>
      <c r="AJ657" s="82" t="e">
        <f>IF(AJ$603,80.89,NA())</f>
        <v>#N/A</v>
      </c>
      <c r="AK657" s="82" t="e">
        <f>IF(AK$603,66.72,NA())</f>
        <v>#N/A</v>
      </c>
      <c r="AL657" s="82" t="e">
        <f>IF(AL$603,40.28,NA())</f>
        <v>#N/A</v>
      </c>
      <c r="AM657" s="82" t="e">
        <f>IF(AM$603,24.8,NA())</f>
        <v>#N/A</v>
      </c>
      <c r="AN657" s="82" t="e">
        <f>IF(AN$603,58.2,NA())</f>
        <v>#N/A</v>
      </c>
      <c r="AO657" s="82" t="e">
        <f>IF(AO$603,42.4,NA())</f>
        <v>#N/A</v>
      </c>
      <c r="AP657" s="82" t="e">
        <f>IF(AP$603,52.93,NA())</f>
        <v>#N/A</v>
      </c>
      <c r="AQ657" s="82" t="e">
        <f>IF(AQ$603,45.93,NA())</f>
        <v>#N/A</v>
      </c>
      <c r="AR657" s="82" t="e">
        <f>IF(AR$603,32.59,NA())</f>
        <v>#N/A</v>
      </c>
      <c r="AS657" s="82" t="e">
        <f>IF(AS$603,44.04,NA())</f>
        <v>#N/A</v>
      </c>
      <c r="AT657" s="82" t="e">
        <f>IF(AT$603,50.08,NA())</f>
        <v>#N/A</v>
      </c>
      <c r="AU657" s="82" t="e">
        <f>IF(AU$603,32.47,NA())</f>
        <v>#N/A</v>
      </c>
      <c r="AV657" s="82" t="e">
        <f>IF(AV$603,49.37,NA())</f>
        <v>#N/A</v>
      </c>
      <c r="AW657" s="82" t="e">
        <f>IF(AW$603,59.89,NA())</f>
        <v>#N/A</v>
      </c>
      <c r="AX657" s="82" t="e">
        <f>IF(AX$603,39.96,NA())</f>
        <v>#N/A</v>
      </c>
      <c r="AY657" s="82" t="e">
        <f>IF(AY$603,59.77,NA())</f>
        <v>#N/A</v>
      </c>
    </row>
    <row r="658" spans="1:51" x14ac:dyDescent="0.3">
      <c r="A658" s="81" t="s">
        <v>132</v>
      </c>
      <c r="B658" s="82" t="e">
        <f>IF(B$603,143.77,NA())</f>
        <v>#VALUE!</v>
      </c>
      <c r="C658" s="82" t="e">
        <f>IF(C$603,46.91,NA())</f>
        <v>#VALUE!</v>
      </c>
      <c r="D658" s="82">
        <f>IF(D$603,92.96,NA())</f>
        <v>92.96</v>
      </c>
      <c r="E658" s="82" t="e">
        <f>IF(E$603,82.18,NA())</f>
        <v>#N/A</v>
      </c>
      <c r="F658" s="82" t="e">
        <f>IF(F$603,65.76,NA())</f>
        <v>#N/A</v>
      </c>
      <c r="G658" s="82">
        <f>IF(G$603,47.85,NA())</f>
        <v>47.85</v>
      </c>
      <c r="H658" s="82" t="e">
        <f>IF(H$603,73.11,NA())</f>
        <v>#N/A</v>
      </c>
      <c r="I658" s="82">
        <f>IF(I$603,57.12,NA())</f>
        <v>57.12</v>
      </c>
      <c r="J658" s="82" t="e">
        <f>NA()</f>
        <v>#N/A</v>
      </c>
      <c r="K658" s="82">
        <f>IF(K$603,86.19,NA())</f>
        <v>86.19</v>
      </c>
      <c r="L658" s="82">
        <f>IF(L$603,49.79,NA())</f>
        <v>49.79</v>
      </c>
      <c r="M658" s="82">
        <f>IF(M$603,87.68,NA())</f>
        <v>87.68</v>
      </c>
      <c r="N658" s="82">
        <f>IF(N$603,47.59,NA())</f>
        <v>47.59</v>
      </c>
      <c r="O658" s="82">
        <f>IF(O$603,46.03,NA())</f>
        <v>46.03</v>
      </c>
      <c r="P658" s="82">
        <f>IF(P$603,34.88,NA())</f>
        <v>34.880000000000003</v>
      </c>
      <c r="Q658" s="82">
        <f>IF(Q$603,56.44,NA())</f>
        <v>56.44</v>
      </c>
      <c r="R658" s="82">
        <f>IF(R$603,48.13,NA())</f>
        <v>48.13</v>
      </c>
      <c r="S658" s="82">
        <f>IF(S$603,77.75,NA())</f>
        <v>77.75</v>
      </c>
      <c r="T658" s="82">
        <f>IF(T$603,57.16,NA())</f>
        <v>57.16</v>
      </c>
      <c r="U658" s="82">
        <f>IF(U$603,107.53,NA())</f>
        <v>107.53</v>
      </c>
      <c r="V658" s="82">
        <f>IF(V$603,54.39,NA())</f>
        <v>54.39</v>
      </c>
      <c r="W658" s="82">
        <f>IF(W$603,67.72,NA())</f>
        <v>67.72</v>
      </c>
      <c r="X658" s="82">
        <f>IF(X$603,61.53,NA())</f>
        <v>61.53</v>
      </c>
      <c r="Y658" s="82">
        <f>IF(Y$603,38.85,NA())</f>
        <v>38.85</v>
      </c>
      <c r="Z658" s="82">
        <f>IF(Z$603,50.88,NA())</f>
        <v>50.88</v>
      </c>
      <c r="AA658" s="82">
        <f>IF(AA$603,57.14,NA())</f>
        <v>57.14</v>
      </c>
      <c r="AB658" s="82" t="e">
        <f>NA()</f>
        <v>#N/A</v>
      </c>
      <c r="AC658" s="82">
        <f>IF(AC$603,54.81,NA())</f>
        <v>54.81</v>
      </c>
      <c r="AD658" s="82" t="e">
        <f>IF(AD$603,54.88,NA())</f>
        <v>#N/A</v>
      </c>
      <c r="AE658" s="82" t="e">
        <f>IF(AE$603,56.11,NA())</f>
        <v>#N/A</v>
      </c>
      <c r="AF658" s="82" t="e">
        <f>IF(AF$603,49.31,NA())</f>
        <v>#N/A</v>
      </c>
      <c r="AG658" s="82" t="e">
        <f>IF(AG$603,46.19,NA())</f>
        <v>#N/A</v>
      </c>
      <c r="AH658" s="82" t="e">
        <f>IF(AH$603,30.36,NA())</f>
        <v>#N/A</v>
      </c>
      <c r="AI658" s="82" t="e">
        <f>IF(AI$603,39.93,NA())</f>
        <v>#N/A</v>
      </c>
      <c r="AJ658" s="82" t="e">
        <f>IF(AJ$603,80.03,NA())</f>
        <v>#N/A</v>
      </c>
      <c r="AK658" s="82" t="e">
        <f>IF(AK$603,65.53,NA())</f>
        <v>#N/A</v>
      </c>
      <c r="AL658" s="82" t="e">
        <f>IF(AL$603,38.96,NA())</f>
        <v>#N/A</v>
      </c>
      <c r="AM658" s="82" t="e">
        <f>IF(AM$603,24.8,NA())</f>
        <v>#N/A</v>
      </c>
      <c r="AN658" s="82" t="e">
        <f>IF(AN$603,57.31,NA())</f>
        <v>#N/A</v>
      </c>
      <c r="AO658" s="82" t="e">
        <f>IF(AO$603,41.38,NA())</f>
        <v>#N/A</v>
      </c>
      <c r="AP658" s="82" t="e">
        <f>IF(AP$603,48.26,NA())</f>
        <v>#N/A</v>
      </c>
      <c r="AQ658" s="82" t="e">
        <f>IF(AQ$603,45.54,NA())</f>
        <v>#N/A</v>
      </c>
      <c r="AR658" s="82" t="e">
        <f>IF(AR$603,32.03,NA())</f>
        <v>#N/A</v>
      </c>
      <c r="AS658" s="82" t="e">
        <f>IF(AS$603,43.02,NA())</f>
        <v>#N/A</v>
      </c>
      <c r="AT658" s="82" t="e">
        <f>IF(AT$603,48.43,NA())</f>
        <v>#N/A</v>
      </c>
      <c r="AU658" s="82" t="e">
        <f>IF(AU$603,28.65,NA())</f>
        <v>#N/A</v>
      </c>
      <c r="AV658" s="82" t="e">
        <f>IF(AV$603,47.24,NA())</f>
        <v>#N/A</v>
      </c>
      <c r="AW658" s="82" t="e">
        <f>IF(AW$603,56.9,NA())</f>
        <v>#N/A</v>
      </c>
      <c r="AX658" s="82" t="e">
        <f>IF(AX$603,39.96,NA())</f>
        <v>#N/A</v>
      </c>
      <c r="AY658" s="82" t="e">
        <f>IF(AY$603,57.96,NA())</f>
        <v>#N/A</v>
      </c>
    </row>
    <row r="659" spans="1:51" x14ac:dyDescent="0.3">
      <c r="A659" s="81" t="s">
        <v>133</v>
      </c>
      <c r="B659" s="82" t="e">
        <f>IF(B$603,138.67,NA())</f>
        <v>#VALUE!</v>
      </c>
      <c r="C659" s="82" t="e">
        <f>IF(C$603,45,NA())</f>
        <v>#VALUE!</v>
      </c>
      <c r="D659" s="82">
        <f>IF(D$603,84.38,NA())</f>
        <v>84.38</v>
      </c>
      <c r="E659" s="82" t="e">
        <f>IF(E$603,79.42,NA())</f>
        <v>#N/A</v>
      </c>
      <c r="F659" s="82" t="e">
        <f>IF(F$603,58.56,NA())</f>
        <v>#N/A</v>
      </c>
      <c r="G659" s="82">
        <f>IF(G$603,49.11,NA())</f>
        <v>49.11</v>
      </c>
      <c r="H659" s="82" t="e">
        <f>IF(H$603,71.54,NA())</f>
        <v>#N/A</v>
      </c>
      <c r="I659" s="82">
        <f>IF(I$603,56.59,NA())</f>
        <v>56.59</v>
      </c>
      <c r="J659" s="82" t="e">
        <f>NA()</f>
        <v>#N/A</v>
      </c>
      <c r="K659" s="82">
        <f>IF(K$603,85.56,NA())</f>
        <v>85.56</v>
      </c>
      <c r="L659" s="82">
        <f>IF(L$603,48.97,NA())</f>
        <v>48.97</v>
      </c>
      <c r="M659" s="82">
        <f>IF(M$603,85.47,NA())</f>
        <v>85.47</v>
      </c>
      <c r="N659" s="82">
        <f>IF(N$603,46.08,NA())</f>
        <v>46.08</v>
      </c>
      <c r="O659" s="82">
        <f>IF(O$603,49.9,NA())</f>
        <v>49.9</v>
      </c>
      <c r="P659" s="82">
        <f>IF(P$603,36.21,NA())</f>
        <v>36.21</v>
      </c>
      <c r="Q659" s="82">
        <f>IF(Q$603,59.26,NA())</f>
        <v>59.26</v>
      </c>
      <c r="R659" s="82">
        <f>IF(R$603,47.81,NA())</f>
        <v>47.81</v>
      </c>
      <c r="S659" s="82">
        <f>IF(S$603,75.78,NA())</f>
        <v>75.78</v>
      </c>
      <c r="T659" s="82">
        <f>IF(T$603,55.82,NA())</f>
        <v>55.82</v>
      </c>
      <c r="U659" s="82">
        <f>IF(U$603,104.65,NA())</f>
        <v>104.65</v>
      </c>
      <c r="V659" s="82">
        <f>IF(V$603,51.76,NA())</f>
        <v>51.76</v>
      </c>
      <c r="W659" s="82">
        <f>IF(W$603,68.4,NA())</f>
        <v>68.400000000000006</v>
      </c>
      <c r="X659" s="82">
        <f>IF(X$603,60.81,NA())</f>
        <v>60.81</v>
      </c>
      <c r="Y659" s="82">
        <f>IF(Y$603,37.68,NA())</f>
        <v>37.68</v>
      </c>
      <c r="Z659" s="82">
        <f>IF(Z$603,53.02,NA())</f>
        <v>53.02</v>
      </c>
      <c r="AA659" s="82">
        <f>IF(AA$603,54.42,NA())</f>
        <v>54.42</v>
      </c>
      <c r="AB659" s="82" t="e">
        <f>NA()</f>
        <v>#N/A</v>
      </c>
      <c r="AC659" s="82">
        <f>IF(AC$603,53.08,NA())</f>
        <v>53.08</v>
      </c>
      <c r="AD659" s="82" t="e">
        <f>IF(AD$603,51.99,NA())</f>
        <v>#N/A</v>
      </c>
      <c r="AE659" s="82" t="e">
        <f>IF(AE$603,55.54,NA())</f>
        <v>#N/A</v>
      </c>
      <c r="AF659" s="82" t="e">
        <f>IF(AF$603,47.48,NA())</f>
        <v>#N/A</v>
      </c>
      <c r="AG659" s="82" t="e">
        <f>IF(AG$603,43.96,NA())</f>
        <v>#N/A</v>
      </c>
      <c r="AH659" s="82" t="e">
        <f>IF(AH$603,31.39,NA())</f>
        <v>#N/A</v>
      </c>
      <c r="AI659" s="82" t="e">
        <f>IF(AI$603,39.93,NA())</f>
        <v>#N/A</v>
      </c>
      <c r="AJ659" s="82" t="e">
        <f>IF(AJ$603,73.18,NA())</f>
        <v>#N/A</v>
      </c>
      <c r="AK659" s="82" t="e">
        <f>IF(AK$603,63.15,NA())</f>
        <v>#N/A</v>
      </c>
      <c r="AL659" s="82" t="e">
        <f>IF(AL$603,38.96,NA())</f>
        <v>#N/A</v>
      </c>
      <c r="AM659" s="82" t="e">
        <f>IF(AM$603,22.73,NA())</f>
        <v>#N/A</v>
      </c>
      <c r="AN659" s="82" t="e">
        <f>IF(AN$603,55.93,NA())</f>
        <v>#N/A</v>
      </c>
      <c r="AO659" s="82" t="e">
        <f>IF(AO$603,41.29,NA())</f>
        <v>#N/A</v>
      </c>
      <c r="AP659" s="82" t="e">
        <f>IF(AP$603,47.75,NA())</f>
        <v>#N/A</v>
      </c>
      <c r="AQ659" s="82" t="e">
        <f>IF(AQ$603,44.95,NA())</f>
        <v>#N/A</v>
      </c>
      <c r="AR659" s="82" t="e">
        <f>IF(AR$603,29.78,NA())</f>
        <v>#N/A</v>
      </c>
      <c r="AS659" s="82" t="e">
        <f>IF(AS$603,41.49,NA())</f>
        <v>#N/A</v>
      </c>
      <c r="AT659" s="82" t="e">
        <f>IF(AT$603,46.24,NA())</f>
        <v>#N/A</v>
      </c>
      <c r="AU659" s="82" t="e">
        <f>IF(AU$603,28.65,NA())</f>
        <v>#N/A</v>
      </c>
      <c r="AV659" s="82" t="e">
        <f>IF(AV$603,48.95,NA())</f>
        <v>#N/A</v>
      </c>
      <c r="AW659" s="82" t="e">
        <f>IF(AW$603,56.9,NA())</f>
        <v>#N/A</v>
      </c>
      <c r="AX659" s="82" t="e">
        <f>IF(AX$603,45.91,NA())</f>
        <v>#N/A</v>
      </c>
      <c r="AY659" s="82" t="e">
        <f>IF(AY$603,57.05,NA())</f>
        <v>#N/A</v>
      </c>
    </row>
    <row r="660" spans="1:51" x14ac:dyDescent="0.3">
      <c r="A660" s="81" t="s">
        <v>134</v>
      </c>
      <c r="B660" s="82" t="e">
        <f>IF(B$603,135.67,NA())</f>
        <v>#VALUE!</v>
      </c>
      <c r="C660" s="82" t="e">
        <f>IF(C$603,41.83,NA())</f>
        <v>#VALUE!</v>
      </c>
      <c r="D660" s="82">
        <f>IF(D$603,77.94,NA())</f>
        <v>77.94</v>
      </c>
      <c r="E660" s="82" t="e">
        <f>IF(E$603,80.8,NA())</f>
        <v>#N/A</v>
      </c>
      <c r="F660" s="82" t="e">
        <f>IF(F$603,54.72,NA())</f>
        <v>#N/A</v>
      </c>
      <c r="G660" s="82">
        <f>IF(G$603,50.54,NA())</f>
        <v>50.54</v>
      </c>
      <c r="H660" s="82" t="e">
        <f>IF(H$603,71.42,NA())</f>
        <v>#N/A</v>
      </c>
      <c r="I660" s="82">
        <f>IF(I$603,56.06,NA())</f>
        <v>56.06</v>
      </c>
      <c r="J660" s="82" t="e">
        <f>NA()</f>
        <v>#N/A</v>
      </c>
      <c r="K660" s="82">
        <f>IF(K$603,82.67,NA())</f>
        <v>82.67</v>
      </c>
      <c r="L660" s="82">
        <f>IF(L$603,49.24,NA())</f>
        <v>49.24</v>
      </c>
      <c r="M660" s="82">
        <f>IF(M$603,78.85,NA())</f>
        <v>78.849999999999994</v>
      </c>
      <c r="N660" s="82">
        <f>IF(N$603,46.83,NA())</f>
        <v>46.83</v>
      </c>
      <c r="O660" s="82">
        <f>IF(O$603,51.83,NA())</f>
        <v>51.83</v>
      </c>
      <c r="P660" s="82">
        <f>IF(P$603,37.09,NA())</f>
        <v>37.090000000000003</v>
      </c>
      <c r="Q660" s="82">
        <f>IF(Q$603,56.44,NA())</f>
        <v>56.44</v>
      </c>
      <c r="R660" s="82">
        <f>IF(R$603,46.01,NA())</f>
        <v>46.01</v>
      </c>
      <c r="S660" s="82">
        <f>IF(S$603,71.63,NA())</f>
        <v>71.63</v>
      </c>
      <c r="T660" s="82">
        <f>IF(T$603,53.29,NA())</f>
        <v>53.29</v>
      </c>
      <c r="U660" s="82">
        <f>IF(U$603,104.08,NA())</f>
        <v>104.08</v>
      </c>
      <c r="V660" s="82">
        <f>IF(V$603,54.39,NA())</f>
        <v>54.39</v>
      </c>
      <c r="W660" s="82">
        <f>IF(W$603,66.48,NA())</f>
        <v>66.48</v>
      </c>
      <c r="X660" s="82">
        <f>IF(X$603,57.85,NA())</f>
        <v>57.85</v>
      </c>
      <c r="Y660" s="82">
        <f>IF(Y$603,37.09,NA())</f>
        <v>37.090000000000003</v>
      </c>
      <c r="Z660" s="82">
        <f>IF(Z$603,50.88,NA())</f>
        <v>50.88</v>
      </c>
      <c r="AA660" s="82">
        <f>IF(AA$603,52.38,NA())</f>
        <v>52.38</v>
      </c>
      <c r="AB660" s="82" t="e">
        <f>NA()</f>
        <v>#N/A</v>
      </c>
      <c r="AC660" s="82">
        <f>IF(AC$603,51.14,NA())</f>
        <v>51.14</v>
      </c>
      <c r="AD660" s="82" t="e">
        <f>IF(AD$603,48.14,NA())</f>
        <v>#N/A</v>
      </c>
      <c r="AE660" s="82" t="e">
        <f>IF(AE$603,54.11,NA())</f>
        <v>#N/A</v>
      </c>
      <c r="AF660" s="82" t="e">
        <f>IF(AF$603,45.66,NA())</f>
        <v>#N/A</v>
      </c>
      <c r="AG660" s="82" t="e">
        <f>IF(AG$603,47.68,NA())</f>
        <v>#N/A</v>
      </c>
      <c r="AH660" s="82" t="e">
        <f>IF(AH$603,30.36,NA())</f>
        <v>#N/A</v>
      </c>
      <c r="AI660" s="82" t="e">
        <f>IF(AI$603,37.67,NA())</f>
        <v>#N/A</v>
      </c>
      <c r="AJ660" s="82" t="e">
        <f>IF(AJ$603,68.48,NA())</f>
        <v>#N/A</v>
      </c>
      <c r="AK660" s="82" t="e">
        <f>IF(AK$603,60.67,NA())</f>
        <v>#N/A</v>
      </c>
      <c r="AL660" s="82" t="e">
        <f>IF(AL$603,38.29,NA())</f>
        <v>#N/A</v>
      </c>
      <c r="AM660" s="82" t="e">
        <f>IF(AM$603,24.8,NA())</f>
        <v>#N/A</v>
      </c>
      <c r="AN660" s="82" t="e">
        <f>IF(AN$603,55.05,NA())</f>
        <v>#N/A</v>
      </c>
      <c r="AO660" s="82" t="e">
        <f>IF(AO$603,40.18,NA())</f>
        <v>#N/A</v>
      </c>
      <c r="AP660" s="82" t="e">
        <f>IF(AP$603,48.78,NA())</f>
        <v>#N/A</v>
      </c>
      <c r="AQ660" s="82" t="e">
        <f>IF(AQ$603,46.72,NA())</f>
        <v>#N/A</v>
      </c>
      <c r="AR660" s="82" t="e">
        <f>IF(AR$603,27.54,NA())</f>
        <v>#N/A</v>
      </c>
      <c r="AS660" s="82" t="e">
        <f>IF(AS$603,42,NA())</f>
        <v>#N/A</v>
      </c>
      <c r="AT660" s="82" t="e">
        <f>IF(AT$603,44.81,NA())</f>
        <v>#N/A</v>
      </c>
      <c r="AU660" s="82" t="e">
        <f>IF(AU$603,30.56,NA())</f>
        <v>#N/A</v>
      </c>
      <c r="AV660" s="82" t="e">
        <f>IF(AV$603,49.8,NA())</f>
        <v>#N/A</v>
      </c>
      <c r="AW660" s="82" t="e">
        <f>IF(AW$603,59.89,NA())</f>
        <v>#N/A</v>
      </c>
      <c r="AX660" s="82" t="e">
        <f>IF(AX$603,45.91,NA())</f>
        <v>#N/A</v>
      </c>
      <c r="AY660" s="82" t="e">
        <f>IF(AY$603,54.34,NA())</f>
        <v>#N/A</v>
      </c>
    </row>
    <row r="661" spans="1:51" x14ac:dyDescent="0.3">
      <c r="A661" s="81" t="s">
        <v>135</v>
      </c>
      <c r="B661" s="82" t="e">
        <f>IF(B$603,132.51,NA())</f>
        <v>#VALUE!</v>
      </c>
      <c r="C661" s="82" t="e">
        <f>IF(C$603,39.93,NA())</f>
        <v>#VALUE!</v>
      </c>
      <c r="D661" s="82">
        <f>IF(D$603,79.37,NA())</f>
        <v>79.37</v>
      </c>
      <c r="E661" s="82" t="e">
        <f>IF(E$603,83.22,NA())</f>
        <v>#N/A</v>
      </c>
      <c r="F661" s="82" t="e">
        <f>IF(F$603,53.76,NA())</f>
        <v>#N/A</v>
      </c>
      <c r="G661" s="82">
        <f>IF(G$603,51.08,NA())</f>
        <v>51.08</v>
      </c>
      <c r="H661" s="82" t="e">
        <f>IF(H$603,69.12,NA())</f>
        <v>#N/A</v>
      </c>
      <c r="I661" s="82">
        <f>IF(I$603,54.6,NA())</f>
        <v>54.6</v>
      </c>
      <c r="J661" s="82" t="e">
        <f>NA()</f>
        <v>#N/A</v>
      </c>
      <c r="K661" s="82">
        <f>IF(K$603,77.9,NA())</f>
        <v>77.900000000000006</v>
      </c>
      <c r="L661" s="82">
        <f>IF(L$603,50.48,NA())</f>
        <v>50.48</v>
      </c>
      <c r="M661" s="82">
        <f>IF(M$603,76.1,NA())</f>
        <v>76.099999999999994</v>
      </c>
      <c r="N661" s="82">
        <f>IF(N$603,43.06,NA())</f>
        <v>43.06</v>
      </c>
      <c r="O661" s="82">
        <f>IF(O$603,53.38,NA())</f>
        <v>53.38</v>
      </c>
      <c r="P661" s="82">
        <f>IF(P$603,39.74,NA())</f>
        <v>39.74</v>
      </c>
      <c r="Q661" s="82">
        <f>IF(Q$603,56.44,NA())</f>
        <v>56.44</v>
      </c>
      <c r="R661" s="82">
        <f>IF(R$603,44.94,NA())</f>
        <v>44.94</v>
      </c>
      <c r="S661" s="82">
        <f>IF(S$603,70.45,NA())</f>
        <v>70.45</v>
      </c>
      <c r="T661" s="82">
        <f>IF(T$603,50.91,NA())</f>
        <v>50.91</v>
      </c>
      <c r="U661" s="82">
        <f>IF(U$603,98.33,NA())</f>
        <v>98.33</v>
      </c>
      <c r="V661" s="82">
        <f>IF(V$603,51.76,NA())</f>
        <v>51.76</v>
      </c>
      <c r="W661" s="82">
        <f>IF(W$603,66.07,NA())</f>
        <v>66.069999999999993</v>
      </c>
      <c r="X661" s="82">
        <f>IF(X$603,56.26,NA())</f>
        <v>56.26</v>
      </c>
      <c r="Y661" s="82">
        <f>IF(Y$603,34.14,NA())</f>
        <v>34.14</v>
      </c>
      <c r="Z661" s="82">
        <f>IF(Z$603,52.67,NA())</f>
        <v>52.67</v>
      </c>
      <c r="AA661" s="82">
        <f>IF(AA$603,51.02,NA())</f>
        <v>51.02</v>
      </c>
      <c r="AB661" s="82" t="e">
        <f>NA()</f>
        <v>#N/A</v>
      </c>
      <c r="AC661" s="82">
        <f>IF(AC$603,48.8,NA())</f>
        <v>48.8</v>
      </c>
      <c r="AD661" s="82" t="e">
        <f>IF(AD$603,43.33,NA())</f>
        <v>#N/A</v>
      </c>
      <c r="AE661" s="82" t="e">
        <f>IF(AE$603,54.25,NA())</f>
        <v>#N/A</v>
      </c>
      <c r="AF661" s="82" t="e">
        <f>IF(AF$603,43.83,NA())</f>
        <v>#N/A</v>
      </c>
      <c r="AG661" s="82" t="e">
        <f>IF(AG$603,44.7,NA())</f>
        <v>#N/A</v>
      </c>
      <c r="AH661" s="82" t="e">
        <f>IF(AH$603,30.87,NA())</f>
        <v>#N/A</v>
      </c>
      <c r="AI661" s="82" t="e">
        <f>IF(AI$603,36.16,NA())</f>
        <v>#N/A</v>
      </c>
      <c r="AJ661" s="82" t="e">
        <f>IF(AJ$603,65.48,NA())</f>
        <v>#N/A</v>
      </c>
      <c r="AK661" s="82" t="e">
        <f>IF(AK$603,57.64,NA())</f>
        <v>#N/A</v>
      </c>
      <c r="AL661" s="82" t="e">
        <f>IF(AL$603,39.62,NA())</f>
        <v>#N/A</v>
      </c>
      <c r="AM661" s="82" t="e">
        <f>IF(AM$603,25.49,NA())</f>
        <v>#N/A</v>
      </c>
      <c r="AN661" s="82" t="e">
        <f>IF(AN$603,54.04,NA())</f>
        <v>#N/A</v>
      </c>
      <c r="AO661" s="82" t="e">
        <f>IF(AO$603,39.35,NA())</f>
        <v>#N/A</v>
      </c>
      <c r="AP661" s="82" t="e">
        <f>IF(AP$603,44.63,NA())</f>
        <v>#N/A</v>
      </c>
      <c r="AQ661" s="82" t="e">
        <f>IF(AQ$603,45.14,NA())</f>
        <v>#N/A</v>
      </c>
      <c r="AR661" s="82" t="e">
        <f>IF(AR$603,25.85,NA())</f>
        <v>#N/A</v>
      </c>
      <c r="AS661" s="82" t="e">
        <f>IF(AS$603,38.94,NA())</f>
        <v>#N/A</v>
      </c>
      <c r="AT661" s="82" t="e">
        <f>IF(AT$603,45.47,NA())</f>
        <v>#N/A</v>
      </c>
      <c r="AU661" s="82" t="e">
        <f>IF(AU$603,29.6,NA())</f>
        <v>#N/A</v>
      </c>
      <c r="AV661" s="82" t="e">
        <f>IF(AV$603,48.52,NA())</f>
        <v>#N/A</v>
      </c>
      <c r="AW661" s="82" t="e">
        <f>IF(AW$603,57.89,NA())</f>
        <v>#N/A</v>
      </c>
      <c r="AX661" s="82" t="e">
        <f>IF(AX$603,46.76,NA())</f>
        <v>#N/A</v>
      </c>
      <c r="AY661" s="82" t="e">
        <f>IF(AY$603,51.32,NA())</f>
        <v>#N/A</v>
      </c>
    </row>
    <row r="662" spans="1:51" x14ac:dyDescent="0.3">
      <c r="A662" s="81" t="s">
        <v>136</v>
      </c>
      <c r="B662" s="82" t="e">
        <f>IF(B$603,131.98,NA())</f>
        <v>#VALUE!</v>
      </c>
      <c r="C662" s="82" t="e">
        <f>IF(C$603,43.1,NA())</f>
        <v>#VALUE!</v>
      </c>
      <c r="D662" s="82">
        <f>IF(D$603,74.01,NA())</f>
        <v>74.010000000000005</v>
      </c>
      <c r="E662" s="82" t="e">
        <f>IF(E$603,82.87,NA())</f>
        <v>#N/A</v>
      </c>
      <c r="F662" s="82" t="e">
        <f>IF(F$603,53.28,NA())</f>
        <v>#N/A</v>
      </c>
      <c r="G662" s="82">
        <f>IF(G$603,51.08,NA())</f>
        <v>51.08</v>
      </c>
      <c r="H662" s="82" t="e">
        <f>IF(H$603,65.86,NA())</f>
        <v>#N/A</v>
      </c>
      <c r="I662" s="82">
        <f>IF(I$603,51.01,NA())</f>
        <v>51.01</v>
      </c>
      <c r="J662" s="82" t="e">
        <f>NA()</f>
        <v>#N/A</v>
      </c>
      <c r="K662" s="82">
        <f>IF(K$603,74.13,NA())</f>
        <v>74.13</v>
      </c>
      <c r="L662" s="82">
        <f>IF(L$603,48.83,NA())</f>
        <v>48.83</v>
      </c>
      <c r="M662" s="82">
        <f>IF(M$603,68.93,NA())</f>
        <v>68.930000000000007</v>
      </c>
      <c r="N662" s="82">
        <f>IF(N$603,39.28,NA())</f>
        <v>39.28</v>
      </c>
      <c r="O662" s="82">
        <f>IF(O$603,51.45,NA())</f>
        <v>51.45</v>
      </c>
      <c r="P662" s="82">
        <f>IF(P$603,39.3,NA())</f>
        <v>39.299999999999997</v>
      </c>
      <c r="Q662" s="82">
        <f>IF(Q$603,54.56,NA())</f>
        <v>54.56</v>
      </c>
      <c r="R662" s="82">
        <f>IF(R$603,43.03,NA())</f>
        <v>43.03</v>
      </c>
      <c r="S662" s="82">
        <f>IF(S$603,67.29,NA())</f>
        <v>67.290000000000006</v>
      </c>
      <c r="T662" s="82">
        <f>IF(T$603,50.32,NA())</f>
        <v>50.32</v>
      </c>
      <c r="U662" s="82">
        <f>IF(U$603,94.88,NA())</f>
        <v>94.88</v>
      </c>
      <c r="V662" s="82">
        <f>IF(V$603,49.13,NA())</f>
        <v>49.13</v>
      </c>
      <c r="W662" s="82">
        <f>IF(W$603,62.92,NA())</f>
        <v>62.92</v>
      </c>
      <c r="X662" s="82">
        <f>IF(X$603,54.23,NA())</f>
        <v>54.23</v>
      </c>
      <c r="Y662" s="82">
        <f>IF(Y$603,33.56,NA())</f>
        <v>33.56</v>
      </c>
      <c r="Z662" s="82">
        <f>IF(Z$603,53.02,NA())</f>
        <v>53.02</v>
      </c>
      <c r="AA662" s="82">
        <f>IF(AA$603,46.94,NA())</f>
        <v>46.94</v>
      </c>
      <c r="AB662" s="82" t="e">
        <f>NA()</f>
        <v>#N/A</v>
      </c>
      <c r="AC662" s="82">
        <f>IF(AC$603,45.64,NA())</f>
        <v>45.64</v>
      </c>
      <c r="AD662" s="82" t="e">
        <f>IF(AD$603,39.47,NA())</f>
        <v>#N/A</v>
      </c>
      <c r="AE662" s="82" t="e">
        <f>IF(AE$603,51.12,NA())</f>
        <v>#N/A</v>
      </c>
      <c r="AF662" s="82" t="e">
        <f>IF(AF$603,42.92,NA())</f>
        <v>#N/A</v>
      </c>
      <c r="AG662" s="82" t="e">
        <f>IF(AG$603,44.7,NA())</f>
        <v>#N/A</v>
      </c>
      <c r="AH662" s="82" t="e">
        <f>IF(AH$603,35.5,NA())</f>
        <v>#N/A</v>
      </c>
      <c r="AI662" s="82" t="e">
        <f>IF(AI$603,37.67,NA())</f>
        <v>#N/A</v>
      </c>
      <c r="AJ662" s="82" t="e">
        <f>IF(AJ$603,62.91,NA())</f>
        <v>#N/A</v>
      </c>
      <c r="AK662" s="82" t="e">
        <f>IF(AK$603,54.5,NA())</f>
        <v>#N/A</v>
      </c>
      <c r="AL662" s="82" t="e">
        <f>IF(AL$603,38.63,NA())</f>
        <v>#N/A</v>
      </c>
      <c r="AM662" s="82" t="e">
        <f>IF(AM$603,28.93,NA())</f>
        <v>#N/A</v>
      </c>
      <c r="AN662" s="82" t="e">
        <f>IF(AN$603,51.77,NA())</f>
        <v>#N/A</v>
      </c>
      <c r="AO662" s="82" t="e">
        <f>IF(AO$603,37.87,NA())</f>
        <v>#N/A</v>
      </c>
      <c r="AP662" s="82" t="e">
        <f>IF(AP$603,42.56,NA())</f>
        <v>#N/A</v>
      </c>
      <c r="AQ662" s="82" t="e">
        <f>IF(AQ$603,41.79,NA())</f>
        <v>#N/A</v>
      </c>
      <c r="AR662" s="82" t="e">
        <f>IF(AR$603,28.1,NA())</f>
        <v>#N/A</v>
      </c>
      <c r="AS662" s="82" t="e">
        <f>IF(AS$603,37.24,NA())</f>
        <v>#N/A</v>
      </c>
      <c r="AT662" s="82" t="e">
        <f>IF(AT$603,44.48,NA())</f>
        <v>#N/A</v>
      </c>
      <c r="AU662" s="82" t="e">
        <f>IF(AU$603,28.65,NA())</f>
        <v>#N/A</v>
      </c>
      <c r="AV662" s="82" t="e">
        <f>IF(AV$603,48.09,NA())</f>
        <v>#N/A</v>
      </c>
      <c r="AW662" s="82" t="e">
        <f>IF(AW$603,57.89,NA())</f>
        <v>#N/A</v>
      </c>
      <c r="AX662" s="82" t="e">
        <f>IF(AX$603,47.61,NA())</f>
        <v>#N/A</v>
      </c>
      <c r="AY662" s="82" t="e">
        <f>IF(AY$603,47.69,NA())</f>
        <v>#N/A</v>
      </c>
    </row>
    <row r="663" spans="1:51" x14ac:dyDescent="0.3">
      <c r="A663" s="81" t="s">
        <v>137</v>
      </c>
      <c r="B663" s="82" t="e">
        <f>IF(B$603,129.69,NA())</f>
        <v>#VALUE!</v>
      </c>
      <c r="C663" s="82" t="e">
        <f>IF(C$603,43.1,NA())</f>
        <v>#VALUE!</v>
      </c>
      <c r="D663" s="82">
        <f>IF(D$603,67.93,NA())</f>
        <v>67.930000000000007</v>
      </c>
      <c r="E663" s="82" t="e">
        <f>IF(E$603,77,NA())</f>
        <v>#N/A</v>
      </c>
      <c r="F663" s="82" t="e">
        <f>IF(F$603,54.24,NA())</f>
        <v>#N/A</v>
      </c>
      <c r="G663" s="82">
        <f>IF(G$603,52.88,NA())</f>
        <v>52.88</v>
      </c>
      <c r="H663" s="82" t="e">
        <f>IF(H$603,63.8,NA())</f>
        <v>#N/A</v>
      </c>
      <c r="I663" s="82">
        <f>IF(I$603,48.22,NA())</f>
        <v>48.22</v>
      </c>
      <c r="J663" s="82">
        <f>IF(J$603,62.9,NA())</f>
        <v>62.9</v>
      </c>
      <c r="K663" s="82">
        <f>IF(K$603,69.98,NA())</f>
        <v>69.98</v>
      </c>
      <c r="L663" s="82">
        <f>IF(L$603,47.6,NA())</f>
        <v>47.6</v>
      </c>
      <c r="M663" s="82">
        <f>IF(M$603,65.07,NA())</f>
        <v>65.069999999999993</v>
      </c>
      <c r="N663" s="82">
        <f>IF(N$603,40.04,NA())</f>
        <v>40.04</v>
      </c>
      <c r="O663" s="82">
        <f>IF(O$603,49.51,NA())</f>
        <v>49.51</v>
      </c>
      <c r="P663" s="82">
        <f>IF(P$603,40.62,NA())</f>
        <v>40.619999999999997</v>
      </c>
      <c r="Q663" s="82">
        <f>IF(Q$603,51.74,NA())</f>
        <v>51.74</v>
      </c>
      <c r="R663" s="82">
        <f>IF(R$603,42.18,NA())</f>
        <v>42.18</v>
      </c>
      <c r="S663" s="82">
        <f>IF(S$603,65.71,NA())</f>
        <v>65.709999999999994</v>
      </c>
      <c r="T663" s="82">
        <f>IF(T$603,49.42,NA())</f>
        <v>49.42</v>
      </c>
      <c r="U663" s="82">
        <f>IF(U$603,86.83,NA())</f>
        <v>86.83</v>
      </c>
      <c r="V663" s="82">
        <f>IF(V$603,53.52,NA())</f>
        <v>53.52</v>
      </c>
      <c r="W663" s="82">
        <f>IF(W$603,59.49,NA())</f>
        <v>59.49</v>
      </c>
      <c r="X663" s="82">
        <f>IF(X$603,54.67,NA())</f>
        <v>54.67</v>
      </c>
      <c r="Y663" s="82">
        <f>IF(Y$603,35.91,NA())</f>
        <v>35.909999999999997</v>
      </c>
      <c r="Z663" s="82">
        <f>IF(Z$603,51.59,NA())</f>
        <v>51.59</v>
      </c>
      <c r="AA663" s="82">
        <f>IF(AA$603,42.86,NA())</f>
        <v>42.86</v>
      </c>
      <c r="AB663" s="82" t="e">
        <f>NA()</f>
        <v>#N/A</v>
      </c>
      <c r="AC663" s="82">
        <f>IF(AC$603,45.33,NA())</f>
        <v>45.33</v>
      </c>
      <c r="AD663" s="82" t="e">
        <f>IF(AD$603,39.47,NA())</f>
        <v>#N/A</v>
      </c>
      <c r="AE663" s="82" t="e">
        <f>IF(AE$603,49.41,NA())</f>
        <v>#N/A</v>
      </c>
      <c r="AF663" s="82" t="e">
        <f>IF(AF$603,40.18,NA())</f>
        <v>#N/A</v>
      </c>
      <c r="AG663" s="82" t="e">
        <f>IF(AG$603,41.72,NA())</f>
        <v>#N/A</v>
      </c>
      <c r="AH663" s="82" t="e">
        <f>IF(AH$603,35.5,NA())</f>
        <v>#N/A</v>
      </c>
      <c r="AI663" s="82" t="e">
        <f>IF(AI$603,37.67,NA())</f>
        <v>#N/A</v>
      </c>
      <c r="AJ663" s="82" t="e">
        <f>IF(AJ$603,59.49,NA())</f>
        <v>#N/A</v>
      </c>
      <c r="AK663" s="82" t="e">
        <f>IF(AK$603,53.2,NA())</f>
        <v>#N/A</v>
      </c>
      <c r="AL663" s="82" t="e">
        <f>IF(AL$603,40.61,NA())</f>
        <v>#N/A</v>
      </c>
      <c r="AM663" s="82" t="e">
        <f>IF(AM$603,28.93,NA())</f>
        <v>#N/A</v>
      </c>
      <c r="AN663" s="82" t="e">
        <f>IF(AN$603,49.63,NA())</f>
        <v>#N/A</v>
      </c>
      <c r="AO663" s="82" t="e">
        <f>IF(AO$603,37.49,NA())</f>
        <v>#N/A</v>
      </c>
      <c r="AP663" s="82" t="e">
        <f>IF(AP$603,41.52,NA())</f>
        <v>#N/A</v>
      </c>
      <c r="AQ663" s="82" t="e">
        <f>IF(AQ$603,41.4,NA())</f>
        <v>#N/A</v>
      </c>
      <c r="AR663" s="82" t="e">
        <f>IF(AR$603,29.22,NA())</f>
        <v>#N/A</v>
      </c>
      <c r="AS663" s="82" t="e">
        <f>IF(AS$603,36.05,NA())</f>
        <v>#N/A</v>
      </c>
      <c r="AT663" s="82" t="e">
        <f>IF(AT$603,42.72,NA())</f>
        <v>#N/A</v>
      </c>
      <c r="AU663" s="82" t="e">
        <f>IF(AU$603,30.56,NA())</f>
        <v>#N/A</v>
      </c>
      <c r="AV663" s="82" t="e">
        <f>IF(AV$603,45.54,NA())</f>
        <v>#N/A</v>
      </c>
      <c r="AW663" s="82" t="e">
        <f>IF(AW$603,51.9,NA())</f>
        <v>#N/A</v>
      </c>
      <c r="AX663" s="82" t="e">
        <f>IF(AX$603,47.61,NA())</f>
        <v>#N/A</v>
      </c>
      <c r="AY663" s="82" t="e">
        <f>IF(AY$603,46.49,NA())</f>
        <v>#N/A</v>
      </c>
    </row>
    <row r="664" spans="1:51" x14ac:dyDescent="0.3">
      <c r="A664" s="81" t="s">
        <v>138</v>
      </c>
      <c r="B664" s="82" t="e">
        <f>IF(B$603,121.77,NA())</f>
        <v>#VALUE!</v>
      </c>
      <c r="C664" s="82" t="e">
        <f>IF(C$603,41.2,NA())</f>
        <v>#VALUE!</v>
      </c>
      <c r="D664" s="82">
        <f>IF(D$603,68.65,NA())</f>
        <v>68.650000000000006</v>
      </c>
      <c r="E664" s="82" t="e">
        <f>IF(E$603,76.66,NA())</f>
        <v>#N/A</v>
      </c>
      <c r="F664" s="82" t="e">
        <f>IF(F$603,51.36,NA())</f>
        <v>#N/A</v>
      </c>
      <c r="G664" s="82">
        <f>IF(G$603,55.4,NA())</f>
        <v>55.4</v>
      </c>
      <c r="H664" s="82" t="e">
        <f>IF(H$603,61.15,NA())</f>
        <v>#N/A</v>
      </c>
      <c r="I664" s="82">
        <f>IF(I$603,46.76,NA())</f>
        <v>46.76</v>
      </c>
      <c r="J664" s="82">
        <f>IF(J$603,62.39,NA())</f>
        <v>62.39</v>
      </c>
      <c r="K664" s="82">
        <f>IF(K$603,66.47,NA())</f>
        <v>66.47</v>
      </c>
      <c r="L664" s="82">
        <f>IF(L$603,46.64,NA())</f>
        <v>46.64</v>
      </c>
      <c r="M664" s="82">
        <f>IF(M$603,61.48,NA())</f>
        <v>61.48</v>
      </c>
      <c r="N664" s="82">
        <f>IF(N$603,39.28,NA())</f>
        <v>39.28</v>
      </c>
      <c r="O664" s="82">
        <f>IF(O$603,51.06,NA())</f>
        <v>51.06</v>
      </c>
      <c r="P664" s="82">
        <f>IF(P$603,39.74,NA())</f>
        <v>39.74</v>
      </c>
      <c r="Q664" s="82">
        <f>IF(Q$603,43.27,NA())</f>
        <v>43.27</v>
      </c>
      <c r="R664" s="82">
        <f>IF(R$603,41.65,NA())</f>
        <v>41.65</v>
      </c>
      <c r="S664" s="82">
        <f>IF(S$603,63.54,NA())</f>
        <v>63.54</v>
      </c>
      <c r="T664" s="82">
        <f>IF(T$603,47.34,NA())</f>
        <v>47.34</v>
      </c>
      <c r="U664" s="82">
        <f>IF(U$603,82.23,NA())</f>
        <v>82.23</v>
      </c>
      <c r="V664" s="82">
        <f>IF(V$603,50.89,NA())</f>
        <v>50.89</v>
      </c>
      <c r="W664" s="82">
        <f>IF(W$603,56.48,NA())</f>
        <v>56.48</v>
      </c>
      <c r="X664" s="82">
        <f>IF(X$603,51.78,NA())</f>
        <v>51.78</v>
      </c>
      <c r="Y664" s="82">
        <f>IF(Y$603,36.5,NA())</f>
        <v>36.5</v>
      </c>
      <c r="Z664" s="82">
        <f>IF(Z$603,53.38,NA())</f>
        <v>53.38</v>
      </c>
      <c r="AA664" s="82">
        <f>IF(AA$603,44.9,NA())</f>
        <v>44.9</v>
      </c>
      <c r="AB664" s="82">
        <f>IF(AB$603,41.24,NA())</f>
        <v>41.24</v>
      </c>
      <c r="AC664" s="82">
        <f>IF(AC$603,45.13,NA())</f>
        <v>45.13</v>
      </c>
      <c r="AD664" s="82" t="e">
        <f>IF(AD$603,37.55,NA())</f>
        <v>#N/A</v>
      </c>
      <c r="AE664" s="82" t="e">
        <f>IF(AE$603,48.7,NA())</f>
        <v>#N/A</v>
      </c>
      <c r="AF664" s="82" t="e">
        <f>IF(AF$603,42.92,NA())</f>
        <v>#N/A</v>
      </c>
      <c r="AG664" s="82" t="e">
        <f>IF(AG$603,40.23,NA())</f>
        <v>#N/A</v>
      </c>
      <c r="AH664" s="82" t="e">
        <f>IF(AH$603,36.53,NA())</f>
        <v>#N/A</v>
      </c>
      <c r="AI664" s="82" t="e">
        <f>IF(AI$603,39.93,NA())</f>
        <v>#N/A</v>
      </c>
      <c r="AJ664" s="82" t="e">
        <f>IF(AJ$603,57.35,NA())</f>
        <v>#N/A</v>
      </c>
      <c r="AK664" s="82" t="e">
        <f>IF(AK$603,51.91,NA())</f>
        <v>#N/A</v>
      </c>
      <c r="AL664" s="82" t="e">
        <f>IF(AL$603,40.61,NA())</f>
        <v>#N/A</v>
      </c>
      <c r="AM664" s="82" t="e">
        <f>IF(AM$603,31,NA())</f>
        <v>#N/A</v>
      </c>
      <c r="AN664" s="82" t="e">
        <f>IF(AN$603,48.37,NA())</f>
        <v>#N/A</v>
      </c>
      <c r="AO664" s="82" t="e">
        <f>IF(AO$603,36.57,NA())</f>
        <v>#N/A</v>
      </c>
      <c r="AP664" s="82" t="e">
        <f>IF(AP$603,39.44,NA())</f>
        <v>#N/A</v>
      </c>
      <c r="AQ664" s="82" t="e">
        <f>IF(AQ$603,39.03,NA())</f>
        <v>#N/A</v>
      </c>
      <c r="AR664" s="82" t="e">
        <f>IF(AR$603,30.91,NA())</f>
        <v>#N/A</v>
      </c>
      <c r="AS664" s="82" t="e">
        <f>IF(AS$603,34.18,NA())</f>
        <v>#N/A</v>
      </c>
      <c r="AT664" s="82" t="e">
        <f>IF(AT$603,41.07,NA())</f>
        <v>#N/A</v>
      </c>
      <c r="AU664" s="82" t="e">
        <f>IF(AU$603,29.6,NA())</f>
        <v>#N/A</v>
      </c>
      <c r="AV664" s="82" t="e">
        <f>IF(AV$603,44.26,NA())</f>
        <v>#N/A</v>
      </c>
      <c r="AW664" s="82" t="e">
        <f>IF(AW$603,49.91,NA())</f>
        <v>#N/A</v>
      </c>
      <c r="AX664" s="82" t="e">
        <f>IF(AX$603,48.46,NA())</f>
        <v>#N/A</v>
      </c>
      <c r="AY664" s="82" t="e">
        <f>IF(AY$603,42.56,NA())</f>
        <v>#N/A</v>
      </c>
    </row>
    <row r="665" spans="1:51" x14ac:dyDescent="0.3">
      <c r="A665" s="81" t="s">
        <v>139</v>
      </c>
      <c r="B665" s="82" t="e">
        <f>IF(B$603,116.32,NA())</f>
        <v>#VALUE!</v>
      </c>
      <c r="C665" s="82" t="e">
        <f>IF(C$603,39.3,NA())</f>
        <v>#VALUE!</v>
      </c>
      <c r="D665" s="82">
        <f>IF(D$603,67.22,NA())</f>
        <v>67.22</v>
      </c>
      <c r="E665" s="82" t="e">
        <f>IF(E$603,75.28,NA())</f>
        <v>#N/A</v>
      </c>
      <c r="F665" s="82" t="e">
        <f>IF(F$603,51.84,NA())</f>
        <v>#N/A</v>
      </c>
      <c r="G665" s="82">
        <f>IF(G$603,56.12,NA())</f>
        <v>56.12</v>
      </c>
      <c r="H665" s="82" t="e">
        <f>IF(H$603,59.82,NA())</f>
        <v>#N/A</v>
      </c>
      <c r="I665" s="82">
        <f>IF(I$603,45.83,NA())</f>
        <v>45.83</v>
      </c>
      <c r="J665" s="82">
        <f>IF(J$603,60.74,NA())</f>
        <v>60.74</v>
      </c>
      <c r="K665" s="82">
        <f>IF(K$603,68.6,NA())</f>
        <v>68.599999999999994</v>
      </c>
      <c r="L665" s="82">
        <f>IF(L$603,44.44,NA())</f>
        <v>44.44</v>
      </c>
      <c r="M665" s="82">
        <f>IF(M$603,59,NA())</f>
        <v>59</v>
      </c>
      <c r="N665" s="82">
        <f>IF(N$603,40.79,NA())</f>
        <v>40.79</v>
      </c>
      <c r="O665" s="82">
        <f>IF(O$603,55.31,NA())</f>
        <v>55.31</v>
      </c>
      <c r="P665" s="82">
        <f>IF(P$603,42.39,NA())</f>
        <v>42.39</v>
      </c>
      <c r="Q665" s="82">
        <f>IF(Q$603,44.21,NA())</f>
        <v>44.21</v>
      </c>
      <c r="R665" s="82">
        <f>IF(R$603,40.91,NA())</f>
        <v>40.909999999999997</v>
      </c>
      <c r="S665" s="82">
        <f>IF(S$603,59.99,NA())</f>
        <v>59.99</v>
      </c>
      <c r="T665" s="82">
        <f>IF(T$603,46.45,NA())</f>
        <v>46.45</v>
      </c>
      <c r="U665" s="82">
        <f>IF(U$603,76.48,NA())</f>
        <v>76.48</v>
      </c>
      <c r="V665" s="82">
        <f>IF(V$603,47.38,NA())</f>
        <v>47.38</v>
      </c>
      <c r="W665" s="82">
        <f>IF(W$603,54.97,NA())</f>
        <v>54.97</v>
      </c>
      <c r="X665" s="82">
        <f>IF(X$603,50.84,NA())</f>
        <v>50.84</v>
      </c>
      <c r="Y665" s="82">
        <f>IF(Y$603,36.5,NA())</f>
        <v>36.5</v>
      </c>
      <c r="Z665" s="82">
        <f>IF(Z$603,53.02,NA())</f>
        <v>53.02</v>
      </c>
      <c r="AA665" s="82">
        <f>IF(AA$603,49.66,NA())</f>
        <v>49.66</v>
      </c>
      <c r="AB665" s="82">
        <f>IF(AB$603,41.06,NA())</f>
        <v>41.06</v>
      </c>
      <c r="AC665" s="82">
        <f>IF(AC$603,44.82,NA())</f>
        <v>44.82</v>
      </c>
      <c r="AD665" s="82" t="e">
        <f>IF(AD$603,37.55,NA())</f>
        <v>#N/A</v>
      </c>
      <c r="AE665" s="82" t="e">
        <f>IF(AE$603,46.71,NA())</f>
        <v>#N/A</v>
      </c>
      <c r="AF665" s="82" t="e">
        <f>IF(AF$603,41.09,NA())</f>
        <v>#N/A</v>
      </c>
      <c r="AG665" s="82" t="e">
        <f>IF(AG$603,38,NA())</f>
        <v>#N/A</v>
      </c>
      <c r="AH665" s="82" t="e">
        <f>IF(AH$603,35.5,NA())</f>
        <v>#N/A</v>
      </c>
      <c r="AI665" s="82" t="e">
        <f>IF(AI$603,41.44,NA())</f>
        <v>#N/A</v>
      </c>
      <c r="AJ665" s="82" t="e">
        <f>IF(AJ$603,58.21,NA())</f>
        <v>#N/A</v>
      </c>
      <c r="AK665" s="82" t="e">
        <f>IF(AK$603,47.15,NA())</f>
        <v>#N/A</v>
      </c>
      <c r="AL665" s="82" t="e">
        <f>IF(AL$603,41.93,NA())</f>
        <v>#N/A</v>
      </c>
      <c r="AM665" s="82" t="e">
        <f>IF(AM$603,30.31,NA())</f>
        <v>#N/A</v>
      </c>
      <c r="AN665" s="82" t="e">
        <f>IF(AN$603,48.37,NA())</f>
        <v>#N/A</v>
      </c>
      <c r="AO665" s="82" t="e">
        <f>IF(AO$603,35.64,NA())</f>
        <v>#N/A</v>
      </c>
      <c r="AP665" s="82" t="e">
        <f>IF(AP$603,39.96,NA())</f>
        <v>#N/A</v>
      </c>
      <c r="AQ665" s="82" t="e">
        <f>IF(AQ$603,39.03,NA())</f>
        <v>#N/A</v>
      </c>
      <c r="AR665" s="82" t="e">
        <f>IF(AR$603,31.47,NA())</f>
        <v>#N/A</v>
      </c>
      <c r="AS665" s="82" t="e">
        <f>IF(AS$603,33.5,NA())</f>
        <v>#N/A</v>
      </c>
      <c r="AT665" s="82" t="e">
        <f>IF(AT$603,38.66,NA())</f>
        <v>#N/A</v>
      </c>
      <c r="AU665" s="82" t="e">
        <f>IF(AU$603,32.47,NA())</f>
        <v>#N/A</v>
      </c>
      <c r="AV665" s="82" t="e">
        <f>IF(AV$603,42.99,NA())</f>
        <v>#N/A</v>
      </c>
      <c r="AW665" s="82" t="e">
        <f>IF(AW$603,49.91,NA())</f>
        <v>#N/A</v>
      </c>
      <c r="AX665" s="82" t="e">
        <f>IF(AX$603,51.87,NA())</f>
        <v>#N/A</v>
      </c>
      <c r="AY665" s="82" t="e">
        <f>IF(AY$603,39.85,NA())</f>
        <v>#N/A</v>
      </c>
    </row>
    <row r="666" spans="1:51" x14ac:dyDescent="0.3">
      <c r="A666" s="81" t="s">
        <v>140</v>
      </c>
      <c r="B666" s="82" t="e">
        <f>IF(B$603,111.74,NA())</f>
        <v>#VALUE!</v>
      </c>
      <c r="C666" s="82" t="e">
        <f>IF(C$603,39.93,NA())</f>
        <v>#VALUE!</v>
      </c>
      <c r="D666" s="82">
        <f>IF(D$603,65.07,NA())</f>
        <v>65.069999999999993</v>
      </c>
      <c r="E666" s="82" t="e">
        <f>IF(E$603,67.68,NA())</f>
        <v>#N/A</v>
      </c>
      <c r="F666" s="82" t="e">
        <f>IF(F$603,54.72,NA())</f>
        <v>#N/A</v>
      </c>
      <c r="G666" s="82">
        <f>IF(G$603,56.84,NA())</f>
        <v>56.84</v>
      </c>
      <c r="H666" s="82" t="e">
        <f>IF(H$603,59.58,NA())</f>
        <v>#N/A</v>
      </c>
      <c r="I666" s="82">
        <f>IF(I$603,46.76,NA())</f>
        <v>46.76</v>
      </c>
      <c r="J666" s="82">
        <f>IF(J$603,59.53,NA())</f>
        <v>59.53</v>
      </c>
      <c r="K666" s="82">
        <f>IF(K$603,67.22,NA())</f>
        <v>67.22</v>
      </c>
      <c r="L666" s="82">
        <f>IF(L$603,44.31,NA())</f>
        <v>44.31</v>
      </c>
      <c r="M666" s="82">
        <f>IF(M$603,53.49,NA())</f>
        <v>53.49</v>
      </c>
      <c r="N666" s="82">
        <f>IF(N$603,43.06,NA())</f>
        <v>43.06</v>
      </c>
      <c r="O666" s="82">
        <f>IF(O$603,57.25,NA())</f>
        <v>57.25</v>
      </c>
      <c r="P666" s="82">
        <f>IF(P$603,44.15,NA())</f>
        <v>44.15</v>
      </c>
      <c r="Q666" s="82">
        <f>IF(Q$603,41.39,NA())</f>
        <v>41.39</v>
      </c>
      <c r="R666" s="82">
        <f>IF(R$603,41.65,NA())</f>
        <v>41.65</v>
      </c>
      <c r="S666" s="82">
        <f>IF(S$603,55.25,NA())</f>
        <v>55.25</v>
      </c>
      <c r="T666" s="82">
        <f>IF(T$603,46.89,NA())</f>
        <v>46.89</v>
      </c>
      <c r="U666" s="82">
        <f>IF(U$603,73.03,NA())</f>
        <v>73.03</v>
      </c>
      <c r="V666" s="82">
        <f>IF(V$603,47.38,NA())</f>
        <v>47.38</v>
      </c>
      <c r="W666" s="82">
        <f>IF(W$603,54.01,NA())</f>
        <v>54.01</v>
      </c>
      <c r="X666" s="82">
        <f>IF(X$603,49.25,NA())</f>
        <v>49.25</v>
      </c>
      <c r="Y666" s="82">
        <f>IF(Y$603,35.32,NA())</f>
        <v>35.32</v>
      </c>
      <c r="Z666" s="82">
        <f>IF(Z$603,53.38,NA())</f>
        <v>53.38</v>
      </c>
      <c r="AA666" s="82">
        <f>IF(AA$603,46.94,NA())</f>
        <v>46.94</v>
      </c>
      <c r="AB666" s="82">
        <f>IF(AB$603,41.75,NA())</f>
        <v>41.75</v>
      </c>
      <c r="AC666" s="82">
        <f>IF(AC$603,42.99,NA())</f>
        <v>42.99</v>
      </c>
      <c r="AD666" s="82" t="e">
        <f>IF(AD$603,35.62,NA())</f>
        <v>#N/A</v>
      </c>
      <c r="AE666" s="82" t="e">
        <f>IF(AE$603,44.86,NA())</f>
        <v>#N/A</v>
      </c>
      <c r="AF666" s="82" t="e">
        <f>IF(AF$603,37.44,NA())</f>
        <v>#N/A</v>
      </c>
      <c r="AG666" s="82" t="e">
        <f>IF(AG$603,40.98,NA())</f>
        <v>#N/A</v>
      </c>
      <c r="AH666" s="82" t="e">
        <f>IF(AH$603,36.02,NA())</f>
        <v>#N/A</v>
      </c>
      <c r="AI666" s="82" t="e">
        <f>IF(AI$603,35.41,NA())</f>
        <v>#N/A</v>
      </c>
      <c r="AJ666" s="82" t="e">
        <f>IF(AJ$603,56.49,NA())</f>
        <v>#N/A</v>
      </c>
      <c r="AK666" s="82" t="e">
        <f>IF(AK$603,46.07,NA())</f>
        <v>#N/A</v>
      </c>
      <c r="AL666" s="82" t="e">
        <f>IF(AL$603,39.95,NA())</f>
        <v>#N/A</v>
      </c>
      <c r="AM666" s="82" t="e">
        <f>IF(AM$603,31.69,NA())</f>
        <v>#N/A</v>
      </c>
      <c r="AN666" s="82" t="e">
        <f>IF(AN$603,45.09,NA())</f>
        <v>#N/A</v>
      </c>
      <c r="AO666" s="82" t="e">
        <f>IF(AO$603,35.46,NA())</f>
        <v>#N/A</v>
      </c>
      <c r="AP666" s="82" t="e">
        <f>IF(AP$603,39.44,NA())</f>
        <v>#N/A</v>
      </c>
      <c r="AQ666" s="82" t="e">
        <f>IF(AQ$603,38.83,NA())</f>
        <v>#N/A</v>
      </c>
      <c r="AR666" s="82" t="e">
        <f>IF(AR$603,33.72,NA())</f>
        <v>#N/A</v>
      </c>
      <c r="AS666" s="82" t="e">
        <f>IF(AS$603,34.18,NA())</f>
        <v>#N/A</v>
      </c>
      <c r="AT666" s="82" t="e">
        <f>IF(AT$603,38.88,NA())</f>
        <v>#N/A</v>
      </c>
      <c r="AU666" s="82" t="e">
        <f>IF(AU$603,30.56,NA())</f>
        <v>#N/A</v>
      </c>
      <c r="AV666" s="82" t="e">
        <f>IF(AV$603,40.43,NA())</f>
        <v>#N/A</v>
      </c>
      <c r="AW666" s="82" t="e">
        <f>IF(AW$603,51.9,NA())</f>
        <v>#N/A</v>
      </c>
      <c r="AX666" s="82" t="e">
        <f>IF(AX$603,51.01,NA())</f>
        <v>#N/A</v>
      </c>
      <c r="AY666" s="82" t="e">
        <f>IF(AY$603,39.85,NA())</f>
        <v>#N/A</v>
      </c>
    </row>
    <row r="667" spans="1:51" x14ac:dyDescent="0.3">
      <c r="A667" s="81" t="s">
        <v>141</v>
      </c>
      <c r="B667" s="82" t="e">
        <f>IF(B$603,109.45,NA())</f>
        <v>#VALUE!</v>
      </c>
      <c r="C667" s="82" t="e">
        <f>IF(C$603,43.74,NA())</f>
        <v>#VALUE!</v>
      </c>
      <c r="D667" s="82">
        <f>IF(D$603,60.78,NA())</f>
        <v>60.78</v>
      </c>
      <c r="E667" s="82" t="e">
        <f>IF(E$603,63.19,NA())</f>
        <v>#N/A</v>
      </c>
      <c r="F667" s="82" t="e">
        <f>IF(F$603,52.8,NA())</f>
        <v>#N/A</v>
      </c>
      <c r="G667" s="82">
        <f>IF(G$603,59.36,NA())</f>
        <v>59.36</v>
      </c>
      <c r="H667" s="82" t="e">
        <f>IF(H$603,59.58,NA())</f>
        <v>#N/A</v>
      </c>
      <c r="I667" s="82">
        <f>IF(I$603,46.36,NA())</f>
        <v>46.36</v>
      </c>
      <c r="J667" s="82">
        <f>IF(J$603,58.96,NA())</f>
        <v>58.96</v>
      </c>
      <c r="K667" s="82">
        <f>IF(K$603,63.32,NA())</f>
        <v>63.32</v>
      </c>
      <c r="L667" s="82">
        <f>IF(L$603,45.81,NA())</f>
        <v>45.81</v>
      </c>
      <c r="M667" s="82">
        <f>IF(M$603,54.31,NA())</f>
        <v>54.31</v>
      </c>
      <c r="N667" s="82">
        <f>IF(N$603,43.06,NA())</f>
        <v>43.06</v>
      </c>
      <c r="O667" s="82">
        <f>IF(O$603,57.64,NA())</f>
        <v>57.64</v>
      </c>
      <c r="P667" s="82">
        <f>IF(P$603,48.13,NA())</f>
        <v>48.13</v>
      </c>
      <c r="Q667" s="82">
        <f>IF(Q$603,39.51,NA())</f>
        <v>39.51</v>
      </c>
      <c r="R667" s="82">
        <f>IF(R$603,43.67,NA())</f>
        <v>43.67</v>
      </c>
      <c r="S667" s="82">
        <f>IF(S$603,53.28,NA())</f>
        <v>53.28</v>
      </c>
      <c r="T667" s="82">
        <f>IF(T$603,46,NA())</f>
        <v>46</v>
      </c>
      <c r="U667" s="82">
        <f>IF(U$603,69.58,NA())</f>
        <v>69.58</v>
      </c>
      <c r="V667" s="82">
        <f>IF(V$603,46.5,NA())</f>
        <v>46.5</v>
      </c>
      <c r="W667" s="82">
        <f>IF(W$603,52.78,NA())</f>
        <v>52.78</v>
      </c>
      <c r="X667" s="82">
        <f>IF(X$603,47.74,NA())</f>
        <v>47.74</v>
      </c>
      <c r="Y667" s="82">
        <f>IF(Y$603,35.32,NA())</f>
        <v>35.32</v>
      </c>
      <c r="Z667" s="82">
        <f>IF(Z$603,50.52,NA())</f>
        <v>50.52</v>
      </c>
      <c r="AA667" s="82">
        <f>IF(AA$603,42.18,NA())</f>
        <v>42.18</v>
      </c>
      <c r="AB667" s="82">
        <f>IF(AB$603,41.36,NA())</f>
        <v>41.36</v>
      </c>
      <c r="AC667" s="82">
        <f>IF(AC$603,41.87,NA())</f>
        <v>41.87</v>
      </c>
      <c r="AD667" s="82" t="e">
        <f>IF(AD$603,34.66,NA())</f>
        <v>#N/A</v>
      </c>
      <c r="AE667" s="82" t="e">
        <f>IF(AE$603,44.57,NA())</f>
        <v>#N/A</v>
      </c>
      <c r="AF667" s="82" t="e">
        <f>IF(AF$603,38.35,NA())</f>
        <v>#N/A</v>
      </c>
      <c r="AG667" s="82" t="e">
        <f>IF(AG$603,40.23,NA())</f>
        <v>#N/A</v>
      </c>
      <c r="AH667" s="82" t="e">
        <f>IF(AH$603,38.59,NA())</f>
        <v>#N/A</v>
      </c>
      <c r="AI667" s="82" t="e">
        <f>IF(AI$603,36.92,NA())</f>
        <v>#N/A</v>
      </c>
      <c r="AJ667" s="82" t="e">
        <f>IF(AJ$603,53.5,NA())</f>
        <v>#N/A</v>
      </c>
      <c r="AK667" s="82" t="e">
        <f>IF(AK$603,46.18,NA())</f>
        <v>#N/A</v>
      </c>
      <c r="AL667" s="82" t="e">
        <f>IF(AL$603,41.6,NA())</f>
        <v>#N/A</v>
      </c>
      <c r="AM667" s="82" t="e">
        <f>IF(AM$603,32.38,NA())</f>
        <v>#N/A</v>
      </c>
      <c r="AN667" s="82" t="e">
        <f>IF(AN$603,43.08,NA())</f>
        <v>#N/A</v>
      </c>
      <c r="AO667" s="82" t="e">
        <f>IF(AO$603,35.46,NA())</f>
        <v>#N/A</v>
      </c>
      <c r="AP667" s="82" t="e">
        <f>IF(AP$603,36.85,NA())</f>
        <v>#N/A</v>
      </c>
      <c r="AQ667" s="82" t="e">
        <f>IF(AQ$603,38.24,NA())</f>
        <v>#N/A</v>
      </c>
      <c r="AR667" s="82" t="e">
        <f>IF(AR$603,35.97,NA())</f>
        <v>#N/A</v>
      </c>
      <c r="AS667" s="82" t="e">
        <f>IF(AS$603,35.88,NA())</f>
        <v>#N/A</v>
      </c>
      <c r="AT667" s="82" t="e">
        <f>IF(AT$603,38.66,NA())</f>
        <v>#N/A</v>
      </c>
      <c r="AU667" s="82" t="e">
        <f>IF(AU$603,33.42,NA())</f>
        <v>#N/A</v>
      </c>
      <c r="AV667" s="82" t="e">
        <f>IF(AV$603,37.03,NA())</f>
        <v>#N/A</v>
      </c>
      <c r="AW667" s="82" t="e">
        <f>IF(AW$603,51.9,NA())</f>
        <v>#N/A</v>
      </c>
      <c r="AX667" s="82" t="e">
        <f>IF(AX$603,52.72,NA())</f>
        <v>#N/A</v>
      </c>
      <c r="AY667" s="82" t="e">
        <f>IF(AY$603,37.73,NA())</f>
        <v>#N/A</v>
      </c>
    </row>
    <row r="668" spans="1:51" x14ac:dyDescent="0.3">
      <c r="A668" s="81" t="s">
        <v>142</v>
      </c>
      <c r="B668" s="82" t="e">
        <f>IF(B$603,105.58,NA())</f>
        <v>#VALUE!</v>
      </c>
      <c r="C668" s="82" t="e">
        <f>IF(C$603,48.17,NA())</f>
        <v>#VALUE!</v>
      </c>
      <c r="D668" s="82">
        <f>IF(D$603,64.71,NA())</f>
        <v>64.709999999999994</v>
      </c>
      <c r="E668" s="82" t="e">
        <f>IF(E$603,60.08,NA())</f>
        <v>#N/A</v>
      </c>
      <c r="F668" s="82" t="e">
        <f>IF(F$603,56.16,NA())</f>
        <v>#N/A</v>
      </c>
      <c r="G668" s="82">
        <f>IF(G$603,59.36,NA())</f>
        <v>59.36</v>
      </c>
      <c r="H668" s="82" t="e">
        <f>IF(H$603,60.42,NA())</f>
        <v>#N/A</v>
      </c>
      <c r="I668" s="82">
        <f>IF(I$603,46.36,NA())</f>
        <v>46.36</v>
      </c>
      <c r="J668" s="82">
        <f>IF(J$603,58.33,NA())</f>
        <v>58.33</v>
      </c>
      <c r="K668" s="82">
        <f>IF(K$603,62.7,NA())</f>
        <v>62.7</v>
      </c>
      <c r="L668" s="82">
        <f>IF(L$603,44.72,NA())</f>
        <v>44.72</v>
      </c>
      <c r="M668" s="82">
        <f>IF(M$603,52.11,NA())</f>
        <v>52.11</v>
      </c>
      <c r="N668" s="82">
        <f>IF(N$603,43.81,NA())</f>
        <v>43.81</v>
      </c>
      <c r="O668" s="82">
        <f>IF(O$603,58.8,NA())</f>
        <v>58.8</v>
      </c>
      <c r="P668" s="82">
        <f>IF(P$603,49.01,NA())</f>
        <v>49.01</v>
      </c>
      <c r="Q668" s="82">
        <f>IF(Q$603,41.39,NA())</f>
        <v>41.39</v>
      </c>
      <c r="R668" s="82">
        <f>IF(R$603,43.99,NA())</f>
        <v>43.99</v>
      </c>
      <c r="S668" s="82">
        <f>IF(S$603,51.5,NA())</f>
        <v>51.5</v>
      </c>
      <c r="T668" s="82">
        <f>IF(T$603,43.32,NA())</f>
        <v>43.32</v>
      </c>
      <c r="U668" s="82">
        <f>IF(U$603,64.98,NA())</f>
        <v>64.98</v>
      </c>
      <c r="V668" s="82">
        <f>IF(V$603,42.99,NA())</f>
        <v>42.99</v>
      </c>
      <c r="W668" s="82">
        <f>IF(W$603,50.99,NA())</f>
        <v>50.99</v>
      </c>
      <c r="X668" s="82">
        <f>IF(X$603,45.93,NA())</f>
        <v>45.93</v>
      </c>
      <c r="Y668" s="82">
        <f>IF(Y$603,37.68,NA())</f>
        <v>37.68</v>
      </c>
      <c r="Z668" s="82">
        <f>IF(Z$603,49.8,NA())</f>
        <v>49.8</v>
      </c>
      <c r="AA668" s="82">
        <f>IF(AA$603,41.5,NA())</f>
        <v>41.5</v>
      </c>
      <c r="AB668" s="82">
        <f>IF(AB$603,40.64,NA())</f>
        <v>40.64</v>
      </c>
      <c r="AC668" s="82">
        <f>IF(AC$603,41.87,NA())</f>
        <v>41.87</v>
      </c>
      <c r="AD668" s="82" t="e">
        <f>IF(AD$603,36.59,NA())</f>
        <v>#N/A</v>
      </c>
      <c r="AE668" s="82" t="e">
        <f>IF(AE$603,44.14,NA())</f>
        <v>#N/A</v>
      </c>
      <c r="AF668" s="82" t="e">
        <f>IF(AF$603,37.44,NA())</f>
        <v>#N/A</v>
      </c>
      <c r="AG668" s="82" t="e">
        <f>IF(AG$603,39.49,NA())</f>
        <v>#N/A</v>
      </c>
      <c r="AH668" s="82" t="e">
        <f>IF(AH$603,40.65,NA())</f>
        <v>#N/A</v>
      </c>
      <c r="AI668" s="82" t="e">
        <f>IF(AI$603,36.16,NA())</f>
        <v>#N/A</v>
      </c>
      <c r="AJ668" s="82" t="e">
        <f>IF(AJ$603,49.65,NA())</f>
        <v>#N/A</v>
      </c>
      <c r="AK668" s="82" t="e">
        <f>IF(AK$603,44.66,NA())</f>
        <v>#N/A</v>
      </c>
      <c r="AL668" s="82" t="e">
        <f>IF(AL$603,41.93,NA())</f>
        <v>#N/A</v>
      </c>
      <c r="AM668" s="82" t="e">
        <f>IF(AM$603,35.13,NA())</f>
        <v>#N/A</v>
      </c>
      <c r="AN668" s="82" t="e">
        <f>IF(AN$603,42.07,NA())</f>
        <v>#N/A</v>
      </c>
      <c r="AO668" s="82" t="e">
        <f>IF(AO$603,35.83,NA())</f>
        <v>#N/A</v>
      </c>
      <c r="AP668" s="82" t="e">
        <f>IF(AP$603,36.33,NA())</f>
        <v>#N/A</v>
      </c>
      <c r="AQ668" s="82" t="e">
        <f>IF(AQ$603,36.86,NA())</f>
        <v>#N/A</v>
      </c>
      <c r="AR668" s="82" t="e">
        <f>IF(AR$603,34.84,NA())</f>
        <v>#N/A</v>
      </c>
      <c r="AS668" s="82" t="e">
        <f>IF(AS$603,36.05,NA())</f>
        <v>#N/A</v>
      </c>
      <c r="AT668" s="82" t="e">
        <f>IF(AT$603,38.33,NA())</f>
        <v>#N/A</v>
      </c>
      <c r="AU668" s="82" t="e">
        <f>IF(AU$603,31.51,NA())</f>
        <v>#N/A</v>
      </c>
      <c r="AV668" s="82" t="e">
        <f>IF(AV$603,35.33,NA())</f>
        <v>#N/A</v>
      </c>
      <c r="AW668" s="82" t="e">
        <f>IF(AW$603,44.92,NA())</f>
        <v>#N/A</v>
      </c>
      <c r="AX668" s="82" t="e">
        <f>IF(AX$603,52.72,NA())</f>
        <v>#N/A</v>
      </c>
      <c r="AY668" s="82" t="e">
        <f>IF(AY$603,35.62,NA())</f>
        <v>#N/A</v>
      </c>
    </row>
    <row r="669" spans="1:51" x14ac:dyDescent="0.3">
      <c r="A669" s="81" t="s">
        <v>143</v>
      </c>
      <c r="B669" s="82" t="e">
        <f>IF(B$603,106.64,NA())</f>
        <v>#VALUE!</v>
      </c>
      <c r="C669" s="82" t="e">
        <f>IF(C$603,51.34,NA())</f>
        <v>#VALUE!</v>
      </c>
      <c r="D669" s="82">
        <f>IF(D$603,66.14,NA())</f>
        <v>66.14</v>
      </c>
      <c r="E669" s="82" t="e">
        <f>IF(E$603,61.12,NA())</f>
        <v>#N/A</v>
      </c>
      <c r="F669" s="82" t="e">
        <f>IF(F$603,53.28,NA())</f>
        <v>#N/A</v>
      </c>
      <c r="G669" s="82">
        <f>IF(G$603,59.72,NA())</f>
        <v>59.72</v>
      </c>
      <c r="H669" s="82" t="e">
        <f>IF(H$603,59.09,NA())</f>
        <v>#N/A</v>
      </c>
      <c r="I669" s="82">
        <f>IF(I$603,48.35,NA())</f>
        <v>48.35</v>
      </c>
      <c r="J669" s="82">
        <f>IF(J$603,57.94,NA())</f>
        <v>57.94</v>
      </c>
      <c r="K669" s="82">
        <f>IF(K$603,62.07,NA())</f>
        <v>62.07</v>
      </c>
      <c r="L669" s="82">
        <f>IF(L$603,46.36,NA())</f>
        <v>46.36</v>
      </c>
      <c r="M669" s="82">
        <f>IF(M$603,52.94,NA())</f>
        <v>52.94</v>
      </c>
      <c r="N669" s="82">
        <f>IF(N$603,43.81,NA())</f>
        <v>43.81</v>
      </c>
      <c r="O669" s="82">
        <f>IF(O$603,54.93,NA())</f>
        <v>54.93</v>
      </c>
      <c r="P669" s="82">
        <f>IF(P$603,50.34,NA())</f>
        <v>50.34</v>
      </c>
      <c r="Q669" s="82">
        <f>IF(Q$603,43.27,NA())</f>
        <v>43.27</v>
      </c>
      <c r="R669" s="82">
        <f>IF(R$603,46.75,NA())</f>
        <v>46.75</v>
      </c>
      <c r="S669" s="82">
        <f>IF(S$603,51.31,NA())</f>
        <v>51.31</v>
      </c>
      <c r="T669" s="82">
        <f>IF(T$603,43.77,NA())</f>
        <v>43.77</v>
      </c>
      <c r="U669" s="82">
        <f>IF(U$603,61.53,NA())</f>
        <v>61.53</v>
      </c>
      <c r="V669" s="82">
        <f>IF(V$603,45.62,NA())</f>
        <v>45.62</v>
      </c>
      <c r="W669" s="82">
        <f>IF(W$603,50.72,NA())</f>
        <v>50.72</v>
      </c>
      <c r="X669" s="82">
        <f>IF(X$603,45.64,NA())</f>
        <v>45.64</v>
      </c>
      <c r="Y669" s="82">
        <f>IF(Y$603,40.03,NA())</f>
        <v>40.03</v>
      </c>
      <c r="Z669" s="82">
        <f>IF(Z$603,49.44,NA())</f>
        <v>49.44</v>
      </c>
      <c r="AA669" s="82">
        <f>IF(AA$603,42.18,NA())</f>
        <v>42.18</v>
      </c>
      <c r="AB669" s="82">
        <f>IF(AB$603,41.36,NA())</f>
        <v>41.36</v>
      </c>
      <c r="AC669" s="82">
        <f>IF(AC$603,41.26,NA())</f>
        <v>41.26</v>
      </c>
      <c r="AD669" s="82" t="e">
        <f>IF(AD$603,37.55,NA())</f>
        <v>#N/A</v>
      </c>
      <c r="AE669" s="82" t="e">
        <f>IF(AE$603,44.71,NA())</f>
        <v>#N/A</v>
      </c>
      <c r="AF669" s="82" t="e">
        <f>IF(AF$603,39.26,NA())</f>
        <v>#N/A</v>
      </c>
      <c r="AG669" s="82" t="e">
        <f>IF(AG$603,38,NA())</f>
        <v>#N/A</v>
      </c>
      <c r="AH669" s="82" t="e">
        <f>IF(AH$603,41.68,NA())</f>
        <v>#N/A</v>
      </c>
      <c r="AI669" s="82" t="e">
        <f>IF(AI$603,33.15,NA())</f>
        <v>#N/A</v>
      </c>
      <c r="AJ669" s="82" t="e">
        <f>IF(AJ$603,46.22,NA())</f>
        <v>#N/A</v>
      </c>
      <c r="AK669" s="82" t="e">
        <f>IF(AK$603,42.93,NA())</f>
        <v>#N/A</v>
      </c>
      <c r="AL669" s="82" t="e">
        <f>IF(AL$603,41.27,NA())</f>
        <v>#N/A</v>
      </c>
      <c r="AM669" s="82" t="e">
        <f>IF(AM$603,37.2,NA())</f>
        <v>#N/A</v>
      </c>
      <c r="AN669" s="82" t="e">
        <f>IF(AN$603,41.95,NA())</f>
        <v>#N/A</v>
      </c>
      <c r="AO669" s="82" t="e">
        <f>IF(AO$603,36.75,NA())</f>
        <v>#N/A</v>
      </c>
      <c r="AP669" s="82" t="e">
        <f>IF(AP$603,35.29,NA())</f>
        <v>#N/A</v>
      </c>
      <c r="AQ669" s="82" t="e">
        <f>IF(AQ$603,36.86,NA())</f>
        <v>#N/A</v>
      </c>
      <c r="AR669" s="82" t="e">
        <f>IF(AR$603,33.16,NA())</f>
        <v>#N/A</v>
      </c>
      <c r="AS669" s="82" t="e">
        <f>IF(AS$603,36.22,NA())</f>
        <v>#N/A</v>
      </c>
      <c r="AT669" s="82" t="e">
        <f>IF(AT$603,38.55,NA())</f>
        <v>#N/A</v>
      </c>
      <c r="AU669" s="82" t="e">
        <f>IF(AU$603,29.6,NA())</f>
        <v>#N/A</v>
      </c>
      <c r="AV669" s="82" t="e">
        <f>IF(AV$603,37.88,NA())</f>
        <v>#N/A</v>
      </c>
      <c r="AW669" s="82" t="e">
        <f>IF(AW$603,40.92,NA())</f>
        <v>#N/A</v>
      </c>
      <c r="AX669" s="82" t="e">
        <f>IF(AX$603,50.16,NA())</f>
        <v>#N/A</v>
      </c>
      <c r="AY669" s="82" t="e">
        <f>IF(AY$603,32.6,NA())</f>
        <v>#N/A</v>
      </c>
    </row>
    <row r="670" spans="1:51" x14ac:dyDescent="0.3">
      <c r="A670" s="81" t="s">
        <v>144</v>
      </c>
      <c r="B670" s="82" t="e">
        <f>IF(B$603,101.54,NA())</f>
        <v>#VALUE!</v>
      </c>
      <c r="C670" s="82" t="e">
        <f>IF(C$603,57.68,NA())</f>
        <v>#VALUE!</v>
      </c>
      <c r="D670" s="82">
        <f>IF(D$603,64,NA())</f>
        <v>64</v>
      </c>
      <c r="E670" s="82" t="e">
        <f>IF(E$603,61.46,NA())</f>
        <v>#N/A</v>
      </c>
      <c r="F670" s="82" t="e">
        <f>IF(F$603,55.68,NA())</f>
        <v>#N/A</v>
      </c>
      <c r="G670" s="82">
        <f>IF(G$603,59.54,NA())</f>
        <v>59.54</v>
      </c>
      <c r="H670" s="82" t="e">
        <f>IF(H$603,58.61,NA())</f>
        <v>#N/A</v>
      </c>
      <c r="I670" s="82">
        <f>IF(I$603,49.68,NA())</f>
        <v>49.68</v>
      </c>
      <c r="J670" s="82">
        <f>IF(J$603,58.26,NA())</f>
        <v>58.26</v>
      </c>
      <c r="K670" s="82">
        <f>IF(K$603,61.69,NA())</f>
        <v>61.69</v>
      </c>
      <c r="L670" s="82">
        <f>IF(L$603,47.74,NA())</f>
        <v>47.74</v>
      </c>
      <c r="M670" s="82">
        <f>IF(M$603,52.66,NA())</f>
        <v>52.66</v>
      </c>
      <c r="N670" s="82">
        <f>IF(N$603,43.81,NA())</f>
        <v>43.81</v>
      </c>
      <c r="O670" s="82">
        <f>IF(O$603,55.31,NA())</f>
        <v>55.31</v>
      </c>
      <c r="P670" s="82">
        <f>IF(P$603,51.22,NA())</f>
        <v>51.22</v>
      </c>
      <c r="Q670" s="82">
        <f>IF(Q$603,47.03,NA())</f>
        <v>47.03</v>
      </c>
      <c r="R670" s="82">
        <f>IF(R$603,47.49,NA())</f>
        <v>47.49</v>
      </c>
      <c r="S670" s="82">
        <f>IF(S$603,49.33,NA())</f>
        <v>49.33</v>
      </c>
      <c r="T670" s="82">
        <f>IF(T$603,44.51,NA())</f>
        <v>44.51</v>
      </c>
      <c r="U670" s="82">
        <f>IF(U$603,55.78,NA())</f>
        <v>55.78</v>
      </c>
      <c r="V670" s="82">
        <f>IF(V$603,45.62,NA())</f>
        <v>45.62</v>
      </c>
      <c r="W670" s="82">
        <f>IF(W$603,49.49,NA())</f>
        <v>49.49</v>
      </c>
      <c r="X670" s="82">
        <f>IF(X$603,44.49,NA())</f>
        <v>44.49</v>
      </c>
      <c r="Y670" s="82">
        <f>IF(Y$603,38.27,NA())</f>
        <v>38.270000000000003</v>
      </c>
      <c r="Z670" s="82">
        <f>IF(Z$603,45.5,NA())</f>
        <v>45.5</v>
      </c>
      <c r="AA670" s="82">
        <f>IF(AA$603,42.18,NA())</f>
        <v>42.18</v>
      </c>
      <c r="AB670" s="82">
        <f>IF(AB$603,41.11,NA())</f>
        <v>41.11</v>
      </c>
      <c r="AC670" s="82">
        <f>IF(AC$603,39.73,NA())</f>
        <v>39.729999999999997</v>
      </c>
      <c r="AD670" s="82" t="e">
        <f>IF(AD$603,37.55,NA())</f>
        <v>#N/A</v>
      </c>
      <c r="AE670" s="82" t="e">
        <f>IF(AE$603,44.86,NA())</f>
        <v>#N/A</v>
      </c>
      <c r="AF670" s="82" t="e">
        <f>IF(AF$603,39.26,NA())</f>
        <v>#N/A</v>
      </c>
      <c r="AG670" s="82" t="e">
        <f>IF(AG$603,41.72,NA())</f>
        <v>#N/A</v>
      </c>
      <c r="AH670" s="82" t="e">
        <f>IF(AH$603,42.71,NA())</f>
        <v>#N/A</v>
      </c>
      <c r="AI670" s="82" t="e">
        <f>IF(AI$603,35.41,NA())</f>
        <v>#N/A</v>
      </c>
      <c r="AJ670" s="82" t="e">
        <f>IF(AJ$603,41.51,NA())</f>
        <v>#N/A</v>
      </c>
      <c r="AK670" s="82" t="e">
        <f>IF(AK$603,41.85,NA())</f>
        <v>#N/A</v>
      </c>
      <c r="AL670" s="82" t="e">
        <f>IF(AL$603,41.93,NA())</f>
        <v>#N/A</v>
      </c>
      <c r="AM670" s="82" t="e">
        <f>IF(AM$603,35.82,NA())</f>
        <v>#N/A</v>
      </c>
      <c r="AN670" s="82" t="e">
        <f>IF(AN$603,40.06,NA())</f>
        <v>#N/A</v>
      </c>
      <c r="AO670" s="82" t="e">
        <f>IF(AO$603,36.48,NA())</f>
        <v>#N/A</v>
      </c>
      <c r="AP670" s="82" t="e">
        <f>IF(AP$603,39.96,NA())</f>
        <v>#N/A</v>
      </c>
      <c r="AQ670" s="82" t="e">
        <f>IF(AQ$603,35.09,NA())</f>
        <v>#N/A</v>
      </c>
      <c r="AR670" s="82" t="e">
        <f>IF(AR$603,34.28,NA())</f>
        <v>#N/A</v>
      </c>
      <c r="AS670" s="82" t="e">
        <f>IF(AS$603,36.9,NA())</f>
        <v>#N/A</v>
      </c>
      <c r="AT670" s="82" t="e">
        <f>IF(AT$603,37.56,NA())</f>
        <v>#N/A</v>
      </c>
      <c r="AU670" s="82" t="e">
        <f>IF(AU$603,32.47,NA())</f>
        <v>#N/A</v>
      </c>
      <c r="AV670" s="82" t="e">
        <f>IF(AV$603,37.88,NA())</f>
        <v>#N/A</v>
      </c>
      <c r="AW670" s="82" t="e">
        <f>IF(AW$603,44.92,NA())</f>
        <v>#N/A</v>
      </c>
      <c r="AX670" s="82" t="e">
        <f>IF(AX$603,49.31,NA())</f>
        <v>#N/A</v>
      </c>
      <c r="AY670" s="82" t="e">
        <f>IF(AY$603,32.6,NA())</f>
        <v>#N/A</v>
      </c>
    </row>
    <row r="671" spans="1:51" x14ac:dyDescent="0.3">
      <c r="A671" s="81" t="s">
        <v>145</v>
      </c>
      <c r="B671" s="82" t="e">
        <f>IF(B$603,99.25,NA())</f>
        <v>#VALUE!</v>
      </c>
      <c r="C671" s="82" t="e">
        <f>IF(C$603,59.58,NA())</f>
        <v>#VALUE!</v>
      </c>
      <c r="D671" s="82">
        <f>IF(D$603,65.07,NA())</f>
        <v>65.069999999999993</v>
      </c>
      <c r="E671" s="82" t="e">
        <f>IF(E$603,63.19,NA())</f>
        <v>#N/A</v>
      </c>
      <c r="F671" s="82" t="e">
        <f>IF(F$603,57.12,NA())</f>
        <v>#N/A</v>
      </c>
      <c r="G671" s="82">
        <f>IF(G$603,58.64,NA())</f>
        <v>58.64</v>
      </c>
      <c r="H671" s="82" t="e">
        <f>IF(H$603,56.67,NA())</f>
        <v>#N/A</v>
      </c>
      <c r="I671" s="82">
        <f>IF(I$603,50.48,NA())</f>
        <v>50.48</v>
      </c>
      <c r="J671" s="82">
        <f>IF(J$603,59.41,NA())</f>
        <v>59.41</v>
      </c>
      <c r="K671" s="82">
        <f>IF(K$603,59.56,NA())</f>
        <v>59.56</v>
      </c>
      <c r="L671" s="82">
        <f>IF(L$603,49.24,NA())</f>
        <v>49.24</v>
      </c>
      <c r="M671" s="82">
        <f>IF(M$603,51.56,NA())</f>
        <v>51.56</v>
      </c>
      <c r="N671" s="82">
        <f>IF(N$603,44.57,NA())</f>
        <v>44.57</v>
      </c>
      <c r="O671" s="82">
        <f>IF(O$603,51.83,NA())</f>
        <v>51.83</v>
      </c>
      <c r="P671" s="82">
        <f>IF(P$603,49.89,NA())</f>
        <v>49.89</v>
      </c>
      <c r="Q671" s="82">
        <f>IF(Q$603,43.27,NA())</f>
        <v>43.27</v>
      </c>
      <c r="R671" s="82">
        <f>IF(R$603,46.75,NA())</f>
        <v>46.75</v>
      </c>
      <c r="S671" s="82">
        <f>IF(S$603,47.56,NA())</f>
        <v>47.56</v>
      </c>
      <c r="T671" s="82">
        <f>IF(T$603,44.06,NA())</f>
        <v>44.06</v>
      </c>
      <c r="U671" s="82">
        <f>IF(U$603,49.45,NA())</f>
        <v>49.45</v>
      </c>
      <c r="V671" s="82">
        <f>IF(V$603,44.74,NA())</f>
        <v>44.74</v>
      </c>
      <c r="W671" s="82">
        <f>IF(W$603,50.17,NA())</f>
        <v>50.17</v>
      </c>
      <c r="X671" s="82">
        <f>IF(X$603,43.69,NA())</f>
        <v>43.69</v>
      </c>
      <c r="Y671" s="82">
        <f>IF(Y$603,38.27,NA())</f>
        <v>38.270000000000003</v>
      </c>
      <c r="Z671" s="82">
        <f>IF(Z$603,43.35,NA())</f>
        <v>43.35</v>
      </c>
      <c r="AA671" s="82">
        <f>IF(AA$603,39.46,NA())</f>
        <v>39.46</v>
      </c>
      <c r="AB671" s="82">
        <f>IF(AB$603,40.51,NA())</f>
        <v>40.51</v>
      </c>
      <c r="AC671" s="82">
        <f>IF(AC$603,39.73,NA())</f>
        <v>39.729999999999997</v>
      </c>
      <c r="AD671" s="82" t="e">
        <f>IF(AD$603,35.62,NA())</f>
        <v>#N/A</v>
      </c>
      <c r="AE671" s="82" t="e">
        <f>IF(AE$603,43,NA())</f>
        <v>#N/A</v>
      </c>
      <c r="AF671" s="82" t="e">
        <f>IF(AF$603,37.44,NA())</f>
        <v>#N/A</v>
      </c>
      <c r="AG671" s="82" t="e">
        <f>IF(AG$603,40.98,NA())</f>
        <v>#N/A</v>
      </c>
      <c r="AH671" s="82" t="e">
        <f>IF(AH$603,42.71,NA())</f>
        <v>#N/A</v>
      </c>
      <c r="AI671" s="82" t="e">
        <f>IF(AI$603,34.66,NA())</f>
        <v>#N/A</v>
      </c>
      <c r="AJ671" s="82" t="e">
        <f>IF(AJ$603,41.09,NA())</f>
        <v>#N/A</v>
      </c>
      <c r="AK671" s="82" t="e">
        <f>IF(AK$603,39.04,NA())</f>
        <v>#N/A</v>
      </c>
      <c r="AL671" s="82" t="e">
        <f>IF(AL$603,42.26,NA())</f>
        <v>#N/A</v>
      </c>
      <c r="AM671" s="82" t="e">
        <f>IF(AM$603,39.96,NA())</f>
        <v>#N/A</v>
      </c>
      <c r="AN671" s="82" t="e">
        <f>IF(AN$603,39.05,NA())</f>
        <v>#N/A</v>
      </c>
      <c r="AO671" s="82" t="e">
        <f>IF(AO$603,35.83,NA())</f>
        <v>#N/A</v>
      </c>
      <c r="AP671" s="82" t="e">
        <f>IF(AP$603,39.44,NA())</f>
        <v>#N/A</v>
      </c>
      <c r="AQ671" s="82" t="e">
        <f>IF(AQ$603,34.69,NA())</f>
        <v>#N/A</v>
      </c>
      <c r="AR671" s="82" t="e">
        <f>IF(AR$603,34.84,NA())</f>
        <v>#N/A</v>
      </c>
      <c r="AS671" s="82" t="e">
        <f>IF(AS$603,36.56,NA())</f>
        <v>#N/A</v>
      </c>
      <c r="AT671" s="82" t="e">
        <f>IF(AT$603,36.35,NA())</f>
        <v>#N/A</v>
      </c>
      <c r="AU671" s="82" t="e">
        <f>IF(AU$603,33.42,NA())</f>
        <v>#N/A</v>
      </c>
      <c r="AV671" s="82" t="e">
        <f>IF(AV$603,36.18,NA())</f>
        <v>#N/A</v>
      </c>
      <c r="AW671" s="82" t="e">
        <f>IF(AW$603,43.92,NA())</f>
        <v>#N/A</v>
      </c>
      <c r="AX671" s="82" t="e">
        <f>IF(AX$603,43.36,NA())</f>
        <v>#N/A</v>
      </c>
      <c r="AY671" s="82" t="e">
        <f>IF(AY$603,32,NA())</f>
        <v>#N/A</v>
      </c>
    </row>
    <row r="672" spans="1:51" x14ac:dyDescent="0.3">
      <c r="A672" s="81" t="s">
        <v>146</v>
      </c>
      <c r="B672" s="82" t="e">
        <f>IF(B$603,93.27,NA())</f>
        <v>#VALUE!</v>
      </c>
      <c r="C672" s="82" t="e">
        <f>IF(C$603,63.39,NA())</f>
        <v>#VALUE!</v>
      </c>
      <c r="D672" s="82">
        <f>IF(D$603,67.22,NA())</f>
        <v>67.22</v>
      </c>
      <c r="E672" s="82" t="e">
        <f>IF(E$603,62.85,NA())</f>
        <v>#N/A</v>
      </c>
      <c r="F672" s="82" t="e">
        <f>IF(F$603,60.96,NA())</f>
        <v>#N/A</v>
      </c>
      <c r="G672" s="82">
        <f>IF(G$603,57.56,NA())</f>
        <v>57.56</v>
      </c>
      <c r="H672" s="82" t="e">
        <f>IF(H$603,56.07,NA())</f>
        <v>#N/A</v>
      </c>
      <c r="I672" s="82">
        <f>IF(I$603,49.42,NA())</f>
        <v>49.42</v>
      </c>
      <c r="J672" s="82">
        <f>IF(J$603,58.9,NA())</f>
        <v>58.9</v>
      </c>
      <c r="K672" s="82">
        <f>IF(K$603,58.8,NA())</f>
        <v>58.8</v>
      </c>
      <c r="L672" s="82">
        <f>IF(L$603,49.79,NA())</f>
        <v>49.79</v>
      </c>
      <c r="M672" s="82">
        <f>IF(M$603,49.08,NA())</f>
        <v>49.08</v>
      </c>
      <c r="N672" s="82">
        <f>IF(N$603,41.55,NA())</f>
        <v>41.55</v>
      </c>
      <c r="O672" s="82">
        <f>IF(O$603,50.29,NA())</f>
        <v>50.29</v>
      </c>
      <c r="P672" s="82">
        <f>IF(P$603,49.89,NA())</f>
        <v>49.89</v>
      </c>
      <c r="Q672" s="82">
        <f>IF(Q$603,44.21,NA())</f>
        <v>44.21</v>
      </c>
      <c r="R672" s="82">
        <f>IF(R$603,46.43,NA())</f>
        <v>46.43</v>
      </c>
      <c r="S672" s="82">
        <f>IF(S$603,48.15,NA())</f>
        <v>48.15</v>
      </c>
      <c r="T672" s="82">
        <f>IF(T$603,43.77,NA())</f>
        <v>43.77</v>
      </c>
      <c r="U672" s="82">
        <f>IF(U$603,47.73,NA())</f>
        <v>47.73</v>
      </c>
      <c r="V672" s="82">
        <f>IF(V$603,45.62,NA())</f>
        <v>45.62</v>
      </c>
      <c r="W672" s="82">
        <f>IF(W$603,48.25,NA())</f>
        <v>48.25</v>
      </c>
      <c r="X672" s="82">
        <f>IF(X$603,42.9,NA())</f>
        <v>42.9</v>
      </c>
      <c r="Y672" s="82">
        <f>IF(Y$603,38.85,NA())</f>
        <v>38.85</v>
      </c>
      <c r="Z672" s="82">
        <f>IF(Z$603,43.35,NA())</f>
        <v>43.35</v>
      </c>
      <c r="AA672" s="82">
        <f>IF(AA$603,42.18,NA())</f>
        <v>42.18</v>
      </c>
      <c r="AB672" s="82">
        <f>IF(AB$603,40.17,NA())</f>
        <v>40.17</v>
      </c>
      <c r="AC672" s="82">
        <f>IF(AC$603,39.53,NA())</f>
        <v>39.53</v>
      </c>
      <c r="AD672" s="82" t="e">
        <f>IF(AD$603,36.59,NA())</f>
        <v>#N/A</v>
      </c>
      <c r="AE672" s="82" t="e">
        <f>IF(AE$603,42.29,NA())</f>
        <v>#N/A</v>
      </c>
      <c r="AF672" s="82" t="e">
        <f>IF(AF$603,38.35,NA())</f>
        <v>#N/A</v>
      </c>
      <c r="AG672" s="82" t="e">
        <f>IF(AG$603,40.23,NA())</f>
        <v>#N/A</v>
      </c>
      <c r="AH672" s="82" t="e">
        <f>IF(AH$603,43.74,NA())</f>
        <v>#N/A</v>
      </c>
      <c r="AI672" s="82" t="e">
        <f>IF(AI$603,40.68,NA())</f>
        <v>#N/A</v>
      </c>
      <c r="AJ672" s="82" t="e">
        <f>IF(AJ$603,40.23,NA())</f>
        <v>#N/A</v>
      </c>
      <c r="AK672" s="82" t="e">
        <f>IF(AK$603,38.17,NA())</f>
        <v>#N/A</v>
      </c>
      <c r="AL672" s="82" t="e">
        <f>IF(AL$603,39.62,NA())</f>
        <v>#N/A</v>
      </c>
      <c r="AM672" s="82" t="e">
        <f>IF(AM$603,42.02,NA())</f>
        <v>#N/A</v>
      </c>
      <c r="AN672" s="82" t="e">
        <f>IF(AN$603,38.42,NA())</f>
        <v>#N/A</v>
      </c>
      <c r="AO672" s="82" t="e">
        <f>IF(AO$603,36.29,NA())</f>
        <v>#N/A</v>
      </c>
      <c r="AP672" s="82" t="e">
        <f>IF(AP$603,37.37,NA())</f>
        <v>#N/A</v>
      </c>
      <c r="AQ672" s="82" t="e">
        <f>IF(AQ$603,32.92,NA())</f>
        <v>#N/A</v>
      </c>
      <c r="AR672" s="82" t="e">
        <f>IF(AR$603,36.53,NA())</f>
        <v>#N/A</v>
      </c>
      <c r="AS672" s="82" t="e">
        <f>IF(AS$603,34.52,NA())</f>
        <v>#N/A</v>
      </c>
      <c r="AT672" s="82" t="e">
        <f>IF(AT$603,36.9,NA())</f>
        <v>#N/A</v>
      </c>
      <c r="AU672" s="82" t="e">
        <f>IF(AU$603,32.47,NA())</f>
        <v>#N/A</v>
      </c>
      <c r="AV672" s="82" t="e">
        <f>IF(AV$603,35.75,NA())</f>
        <v>#N/A</v>
      </c>
      <c r="AW672" s="82" t="e">
        <f>IF(AW$603,36.93,NA())</f>
        <v>#N/A</v>
      </c>
      <c r="AX672" s="82" t="e">
        <f>IF(AX$603,40.81,NA())</f>
        <v>#N/A</v>
      </c>
      <c r="AY672" s="82" t="e">
        <f>IF(AY$603,31.39,NA())</f>
        <v>#N/A</v>
      </c>
    </row>
    <row r="673" spans="1:51" x14ac:dyDescent="0.3">
      <c r="A673" s="81" t="s">
        <v>147</v>
      </c>
      <c r="B673" s="82" t="e">
        <f>IF(B$603,89.75,NA())</f>
        <v>#VALUE!</v>
      </c>
      <c r="C673" s="82" t="e">
        <f>IF(C$603,67.19,NA())</f>
        <v>#VALUE!</v>
      </c>
      <c r="D673" s="82">
        <f>IF(D$603,66.5,NA())</f>
        <v>66.5</v>
      </c>
      <c r="E673" s="82" t="e">
        <f>IF(E$603,61.12,NA())</f>
        <v>#N/A</v>
      </c>
      <c r="F673" s="82" t="e">
        <f>IF(F$603,59.52,NA())</f>
        <v>#N/A</v>
      </c>
      <c r="G673" s="82">
        <f>IF(G$603,58.28,NA())</f>
        <v>58.28</v>
      </c>
      <c r="H673" s="82" t="e">
        <f>IF(H$603,56.8,NA())</f>
        <v>#N/A</v>
      </c>
      <c r="I673" s="82">
        <f>IF(I$603,51.94,NA())</f>
        <v>51.94</v>
      </c>
      <c r="J673" s="82">
        <f>IF(J$603,56.55,NA())</f>
        <v>56.55</v>
      </c>
      <c r="K673" s="82">
        <f>IF(K$603,59.56,NA())</f>
        <v>59.56</v>
      </c>
      <c r="L673" s="82">
        <f>IF(L$603,48.42,NA())</f>
        <v>48.42</v>
      </c>
      <c r="M673" s="82">
        <f>IF(M$603,47.42,NA())</f>
        <v>47.42</v>
      </c>
      <c r="N673" s="82">
        <f>IF(N$603,44.57,NA())</f>
        <v>44.57</v>
      </c>
      <c r="O673" s="82">
        <f>IF(O$603,49.13,NA())</f>
        <v>49.13</v>
      </c>
      <c r="P673" s="82">
        <f>IF(P$603,48.57,NA())</f>
        <v>48.57</v>
      </c>
      <c r="Q673" s="82">
        <f>IF(Q$603,46.09,NA())</f>
        <v>46.09</v>
      </c>
      <c r="R673" s="82">
        <f>IF(R$603,45.05,NA())</f>
        <v>45.05</v>
      </c>
      <c r="S673" s="82">
        <f>IF(S$603,47.36,NA())</f>
        <v>47.36</v>
      </c>
      <c r="T673" s="82">
        <f>IF(T$603,44.06,NA())</f>
        <v>44.06</v>
      </c>
      <c r="U673" s="82">
        <f>IF(U$603,48.88,NA())</f>
        <v>48.88</v>
      </c>
      <c r="V673" s="82">
        <f>IF(V$603,44.74,NA())</f>
        <v>44.74</v>
      </c>
      <c r="W673" s="82">
        <f>IF(W$603,46.88,NA())</f>
        <v>46.88</v>
      </c>
      <c r="X673" s="82">
        <f>IF(X$603,43.33,NA())</f>
        <v>43.33</v>
      </c>
      <c r="Y673" s="82">
        <f>IF(Y$603,40.62,NA())</f>
        <v>40.619999999999997</v>
      </c>
      <c r="Z673" s="82">
        <f>IF(Z$603,40.49,NA())</f>
        <v>40.49</v>
      </c>
      <c r="AA673" s="82">
        <f>IF(AA$603,41.5,NA())</f>
        <v>41.5</v>
      </c>
      <c r="AB673" s="82">
        <f>IF(AB$603,39.91,NA())</f>
        <v>39.909999999999997</v>
      </c>
      <c r="AC673" s="82">
        <f>IF(AC$603,39.12,NA())</f>
        <v>39.119999999999997</v>
      </c>
      <c r="AD673" s="82" t="e">
        <f>IF(AD$603,35.62,NA())</f>
        <v>#N/A</v>
      </c>
      <c r="AE673" s="82" t="e">
        <f>IF(AE$603,40.44,NA())</f>
        <v>#N/A</v>
      </c>
      <c r="AF673" s="82" t="e">
        <f>IF(AF$603,35.61,NA())</f>
        <v>#N/A</v>
      </c>
      <c r="AG673" s="82" t="e">
        <f>IF(AG$603,40.23,NA())</f>
        <v>#N/A</v>
      </c>
      <c r="AH673" s="82" t="e">
        <f>IF(AH$603,42.19,NA())</f>
        <v>#N/A</v>
      </c>
      <c r="AI673" s="82" t="e">
        <f>IF(AI$603,37.67,NA())</f>
        <v>#N/A</v>
      </c>
      <c r="AJ673" s="82" t="e">
        <f>IF(AJ$603,38.95,NA())</f>
        <v>#N/A</v>
      </c>
      <c r="AK673" s="82" t="e">
        <f>IF(AK$603,38.17,NA())</f>
        <v>#N/A</v>
      </c>
      <c r="AL673" s="82" t="e">
        <f>IF(AL$603,38.29,NA())</f>
        <v>#N/A</v>
      </c>
      <c r="AM673" s="82" t="e">
        <f>IF(AM$603,39.96,NA())</f>
        <v>#N/A</v>
      </c>
      <c r="AN673" s="82" t="e">
        <f>IF(AN$603,37.41,NA())</f>
        <v>#N/A</v>
      </c>
      <c r="AO673" s="82" t="e">
        <f>IF(AO$603,35.27,NA())</f>
        <v>#N/A</v>
      </c>
      <c r="AP673" s="82" t="e">
        <f>IF(AP$603,37.88,NA())</f>
        <v>#N/A</v>
      </c>
      <c r="AQ673" s="82" t="e">
        <f>IF(AQ$603,33.91,NA())</f>
        <v>#N/A</v>
      </c>
      <c r="AR673" s="82" t="e">
        <f>IF(AR$603,37.65,NA())</f>
        <v>#N/A</v>
      </c>
      <c r="AS673" s="82" t="e">
        <f>IF(AS$603,34.52,NA())</f>
        <v>#N/A</v>
      </c>
      <c r="AT673" s="82" t="e">
        <f>IF(AT$603,36.68,NA())</f>
        <v>#N/A</v>
      </c>
      <c r="AU673" s="82" t="e">
        <f>IF(AU$603,37.24,NA())</f>
        <v>#N/A</v>
      </c>
      <c r="AV673" s="82" t="e">
        <f>IF(AV$603,35.33,NA())</f>
        <v>#N/A</v>
      </c>
      <c r="AW673" s="82" t="e">
        <f>IF(AW$603,36.93,NA())</f>
        <v>#N/A</v>
      </c>
      <c r="AX673" s="82" t="e">
        <f>IF(AX$603,39.11,NA())</f>
        <v>#N/A</v>
      </c>
      <c r="AY673" s="82" t="e">
        <f>IF(AY$603,32.3,NA())</f>
        <v>#N/A</v>
      </c>
    </row>
    <row r="674" spans="1:51" x14ac:dyDescent="0.3">
      <c r="A674" s="81" t="s">
        <v>148</v>
      </c>
      <c r="B674" s="82" t="e">
        <f>IF(B$603,88.16,NA())</f>
        <v>#VALUE!</v>
      </c>
      <c r="C674" s="82" t="e">
        <f>IF(C$603,62.12,NA())</f>
        <v>#VALUE!</v>
      </c>
      <c r="D674" s="82">
        <f>IF(D$603,66.14,NA())</f>
        <v>66.14</v>
      </c>
      <c r="E674" s="82" t="e">
        <f>IF(E$603,60.08,NA())</f>
        <v>#N/A</v>
      </c>
      <c r="F674" s="82" t="e">
        <f>IF(F$603,59.52,NA())</f>
        <v>#N/A</v>
      </c>
      <c r="G674" s="82">
        <f>IF(G$603,59.54,NA())</f>
        <v>59.54</v>
      </c>
      <c r="H674" s="82" t="e">
        <f>IF(H$603,56.43,NA())</f>
        <v>#N/A</v>
      </c>
      <c r="I674" s="82">
        <f>IF(I$603,53.67,NA())</f>
        <v>53.67</v>
      </c>
      <c r="J674" s="82">
        <f>IF(J$603,55.85,NA())</f>
        <v>55.85</v>
      </c>
      <c r="K674" s="82">
        <f>IF(K$603,56.54,NA())</f>
        <v>56.54</v>
      </c>
      <c r="L674" s="82">
        <f>IF(L$603,49.52,NA())</f>
        <v>49.52</v>
      </c>
      <c r="M674" s="82">
        <f>IF(M$603,48.52,NA())</f>
        <v>48.52</v>
      </c>
      <c r="N674" s="82">
        <f>IF(N$603,46.08,NA())</f>
        <v>46.08</v>
      </c>
      <c r="O674" s="82">
        <f>IF(O$603,49.13,NA())</f>
        <v>49.13</v>
      </c>
      <c r="P674" s="82">
        <f>IF(P$603,48.13,NA())</f>
        <v>48.13</v>
      </c>
      <c r="Q674" s="82">
        <f>IF(Q$603,47.03,NA())</f>
        <v>47.03</v>
      </c>
      <c r="R674" s="82">
        <f>IF(R$603,46.22,NA())</f>
        <v>46.22</v>
      </c>
      <c r="S674" s="82">
        <f>IF(S$603,46.97,NA())</f>
        <v>46.97</v>
      </c>
      <c r="T674" s="82">
        <f>IF(T$603,44.81,NA())</f>
        <v>44.81</v>
      </c>
      <c r="U674" s="82">
        <f>IF(U$603,47.15,NA())</f>
        <v>47.15</v>
      </c>
      <c r="V674" s="82">
        <f>IF(V$603,44.74,NA())</f>
        <v>44.74</v>
      </c>
      <c r="W674" s="82">
        <f>IF(W$603,44.14,NA())</f>
        <v>44.14</v>
      </c>
      <c r="X674" s="82">
        <f>IF(X$603,42.39,NA())</f>
        <v>42.39</v>
      </c>
      <c r="Y674" s="82">
        <f>IF(Y$603,41.8,NA())</f>
        <v>41.8</v>
      </c>
      <c r="Z674" s="82">
        <f>IF(Z$603,39.05,NA())</f>
        <v>39.049999999999997</v>
      </c>
      <c r="AA674" s="82">
        <f>IF(AA$603,40.82,NA())</f>
        <v>40.82</v>
      </c>
      <c r="AB674" s="82">
        <f>IF(AB$603,39.61,NA())</f>
        <v>39.61</v>
      </c>
      <c r="AC674" s="82">
        <f>IF(AC$603,38.71,NA())</f>
        <v>38.71</v>
      </c>
      <c r="AD674" s="82" t="e">
        <f>IF(AD$603,37.55,NA())</f>
        <v>#N/A</v>
      </c>
      <c r="AE674" s="82" t="e">
        <f>IF(AE$603,39.59,NA())</f>
        <v>#N/A</v>
      </c>
      <c r="AF674" s="82" t="e">
        <f>IF(AF$603,37.44,NA())</f>
        <v>#N/A</v>
      </c>
      <c r="AG674" s="82" t="e">
        <f>IF(AG$603,38.74,NA())</f>
        <v>#N/A</v>
      </c>
      <c r="AH674" s="82" t="e">
        <f>IF(AH$603,37.56,NA())</f>
        <v>#N/A</v>
      </c>
      <c r="AI674" s="82" t="e">
        <f>IF(AI$603,37.67,NA())</f>
        <v>#N/A</v>
      </c>
      <c r="AJ674" s="82" t="e">
        <f>IF(AJ$603,38.09,NA())</f>
        <v>#N/A</v>
      </c>
      <c r="AK674" s="82" t="e">
        <f>IF(AK$603,38.06,NA())</f>
        <v>#N/A</v>
      </c>
      <c r="AL674" s="82" t="e">
        <f>IF(AL$603,38.29,NA())</f>
        <v>#N/A</v>
      </c>
      <c r="AM674" s="82" t="e">
        <f>IF(AM$603,37.2,NA())</f>
        <v>#N/A</v>
      </c>
      <c r="AN674" s="82" t="e">
        <f>IF(AN$603,37.16,NA())</f>
        <v>#N/A</v>
      </c>
      <c r="AO674" s="82" t="e">
        <f>IF(AO$603,35.27,NA())</f>
        <v>#N/A</v>
      </c>
      <c r="AP674" s="82" t="e">
        <f>IF(AP$603,36.33,NA())</f>
        <v>#N/A</v>
      </c>
      <c r="AQ674" s="82" t="e">
        <f>IF(AQ$603,35.48,NA())</f>
        <v>#N/A</v>
      </c>
      <c r="AR674" s="82" t="e">
        <f>IF(AR$603,35.4,NA())</f>
        <v>#N/A</v>
      </c>
      <c r="AS674" s="82" t="e">
        <f>IF(AS$603,34.52,NA())</f>
        <v>#N/A</v>
      </c>
      <c r="AT674" s="82" t="e">
        <f>IF(AT$603,35.58,NA())</f>
        <v>#N/A</v>
      </c>
      <c r="AU674" s="82" t="e">
        <f>IF(AU$603,38.2,NA())</f>
        <v>#N/A</v>
      </c>
      <c r="AV674" s="82" t="e">
        <f>IF(AV$603,35.75,NA())</f>
        <v>#N/A</v>
      </c>
      <c r="AW674" s="82" t="e">
        <f>IF(AW$603,33.94,NA())</f>
        <v>#N/A</v>
      </c>
      <c r="AX674" s="82" t="e">
        <f>IF(AX$603,37.41,NA())</f>
        <v>#N/A</v>
      </c>
      <c r="AY674" s="82" t="e">
        <f>IF(AY$603,33.51,NA())</f>
        <v>#N/A</v>
      </c>
    </row>
    <row r="675" spans="1:51" x14ac:dyDescent="0.3">
      <c r="A675" s="81" t="s">
        <v>149</v>
      </c>
      <c r="B675" s="82" t="e">
        <f>IF(B$603,87.63,NA())</f>
        <v>#VALUE!</v>
      </c>
      <c r="C675" s="82" t="e">
        <f>IF(C$603,65.92,NA())</f>
        <v>#VALUE!</v>
      </c>
      <c r="D675" s="82">
        <f>IF(D$603,64.36,NA())</f>
        <v>64.36</v>
      </c>
      <c r="E675" s="82" t="e">
        <f>IF(E$603,63.54,NA())</f>
        <v>#N/A</v>
      </c>
      <c r="F675" s="82" t="e">
        <f>IF(F$603,60.96,NA())</f>
        <v>#N/A</v>
      </c>
      <c r="G675" s="82">
        <f>IF(G$603,57.92,NA())</f>
        <v>57.92</v>
      </c>
      <c r="H675" s="82" t="e">
        <f>IF(H$603,57.16,NA())</f>
        <v>#N/A</v>
      </c>
      <c r="I675" s="82">
        <f>IF(I$603,55.4,NA())</f>
        <v>55.4</v>
      </c>
      <c r="J675" s="82">
        <f>IF(J$603,55.28,NA())</f>
        <v>55.28</v>
      </c>
      <c r="K675" s="82">
        <f>IF(K$603,53.15,NA())</f>
        <v>53.15</v>
      </c>
      <c r="L675" s="82">
        <f>IF(L$603,50.75,NA())</f>
        <v>50.75</v>
      </c>
      <c r="M675" s="82">
        <f>IF(M$603,48.52,NA())</f>
        <v>48.52</v>
      </c>
      <c r="N675" s="82">
        <f>IF(N$603,47.59,NA())</f>
        <v>47.59</v>
      </c>
      <c r="O675" s="82">
        <f>IF(O$603,47.58,NA())</f>
        <v>47.58</v>
      </c>
      <c r="P675" s="82">
        <f>IF(P$603,47.24,NA())</f>
        <v>47.24</v>
      </c>
      <c r="Q675" s="82">
        <f>IF(Q$603,47.03,NA())</f>
        <v>47.03</v>
      </c>
      <c r="R675" s="82">
        <f>IF(R$603,46.22,NA())</f>
        <v>46.22</v>
      </c>
      <c r="S675" s="82">
        <f>IF(S$603,45.98,NA())</f>
        <v>45.98</v>
      </c>
      <c r="T675" s="82">
        <f>IF(T$603,45.85,NA())</f>
        <v>45.85</v>
      </c>
      <c r="U675" s="82">
        <f>IF(U$603,44.85,NA())</f>
        <v>44.85</v>
      </c>
      <c r="V675" s="82">
        <f>IF(V$603,42.99,NA())</f>
        <v>42.99</v>
      </c>
      <c r="W675" s="82">
        <f>IF(W$603,42.22,NA())</f>
        <v>42.22</v>
      </c>
      <c r="X675" s="82">
        <f>IF(X$603,42.03,NA())</f>
        <v>42.03</v>
      </c>
      <c r="Y675" s="82">
        <f>IF(Y$603,41.21,NA())</f>
        <v>41.21</v>
      </c>
      <c r="Z675" s="82">
        <f>IF(Z$603,39.77,NA())</f>
        <v>39.770000000000003</v>
      </c>
      <c r="AA675" s="82">
        <f>IF(AA$603,39.46,NA())</f>
        <v>39.46</v>
      </c>
      <c r="AB675" s="82">
        <f>IF(AB$603,39.36,NA())</f>
        <v>39.36</v>
      </c>
      <c r="AC675" s="82">
        <f>IF(AC$603,39.22,NA())</f>
        <v>39.22</v>
      </c>
      <c r="AD675" s="82" t="e">
        <f>IF(AD$603,38.51,NA())</f>
        <v>#N/A</v>
      </c>
      <c r="AE675" s="82" t="e">
        <f>IF(AE$603,38.45,NA())</f>
        <v>#N/A</v>
      </c>
      <c r="AF675" s="82" t="e">
        <f>IF(AF$603,38.35,NA())</f>
        <v>#N/A</v>
      </c>
      <c r="AG675" s="82" t="e">
        <f>IF(AG$603,38,NA())</f>
        <v>#N/A</v>
      </c>
      <c r="AH675" s="82" t="e">
        <f>IF(AH$603,37.56,NA())</f>
        <v>#N/A</v>
      </c>
      <c r="AI675" s="82" t="e">
        <f>IF(AI$603,36.92,NA())</f>
        <v>#N/A</v>
      </c>
      <c r="AJ675" s="82" t="e">
        <f>IF(AJ$603,36.81,NA())</f>
        <v>#N/A</v>
      </c>
      <c r="AK675" s="82" t="e">
        <f>IF(AK$603,36.77,NA())</f>
        <v>#N/A</v>
      </c>
      <c r="AL675" s="82" t="e">
        <f>IF(AL$603,36.64,NA())</f>
        <v>#N/A</v>
      </c>
      <c r="AM675" s="82" t="e">
        <f>IF(AM$603,36.51,NA())</f>
        <v>#N/A</v>
      </c>
      <c r="AN675" s="82" t="e">
        <f>IF(AN$603,36.03,NA())</f>
        <v>#N/A</v>
      </c>
      <c r="AO675" s="82" t="e">
        <f>IF(AO$603,36.01,NA())</f>
        <v>#N/A</v>
      </c>
      <c r="AP675" s="82" t="e">
        <f>IF(AP$603,35.81,NA())</f>
        <v>#N/A</v>
      </c>
      <c r="AQ675" s="82" t="e">
        <f>IF(AQ$603,35.48,NA())</f>
        <v>#N/A</v>
      </c>
      <c r="AR675" s="82" t="e">
        <f>IF(AR$603,35.4,NA())</f>
        <v>#N/A</v>
      </c>
      <c r="AS675" s="82" t="e">
        <f>IF(AS$603,35.37,NA())</f>
        <v>#N/A</v>
      </c>
      <c r="AT675" s="82" t="e">
        <f>IF(AT$603,35.36,NA())</f>
        <v>#N/A</v>
      </c>
      <c r="AU675" s="82" t="e">
        <f>IF(AU$603,35.33,NA())</f>
        <v>#N/A</v>
      </c>
      <c r="AV675" s="82" t="e">
        <f>IF(AV$603,35.33,NA())</f>
        <v>#N/A</v>
      </c>
      <c r="AW675" s="82" t="e">
        <f>IF(AW$603,34.94,NA())</f>
        <v>#N/A</v>
      </c>
      <c r="AX675" s="82" t="e">
        <f>IF(AX$603,34.86,NA())</f>
        <v>#N/A</v>
      </c>
      <c r="AY675" s="82" t="e">
        <f>IF(AY$603,34.41,NA())</f>
        <v>#N/A</v>
      </c>
    </row>
    <row r="676" spans="1:51" x14ac:dyDescent="0.3">
      <c r="A676" s="81" t="s">
        <v>150</v>
      </c>
      <c r="B676" s="82" t="e">
        <f>NA()</f>
        <v>#N/A</v>
      </c>
      <c r="C676" s="82" t="e">
        <f>NA()</f>
        <v>#N/A</v>
      </c>
      <c r="D676" s="82" t="e">
        <f>NA()</f>
        <v>#N/A</v>
      </c>
      <c r="E676" s="82" t="e">
        <f>NA()</f>
        <v>#N/A</v>
      </c>
      <c r="F676" s="82" t="e">
        <f>NA()</f>
        <v>#N/A</v>
      </c>
      <c r="G676" s="82">
        <f>IF(G$603,61.88,NA())</f>
        <v>61.88</v>
      </c>
      <c r="H676" s="82" t="e">
        <f>NA()</f>
        <v>#N/A</v>
      </c>
      <c r="I676" s="82" t="e">
        <f>NA()</f>
        <v>#N/A</v>
      </c>
      <c r="J676" s="82" t="e">
        <f>NA()</f>
        <v>#N/A</v>
      </c>
      <c r="K676" s="82" t="e">
        <f>NA()</f>
        <v>#N/A</v>
      </c>
      <c r="L676" s="82" t="e">
        <f>NA()</f>
        <v>#N/A</v>
      </c>
      <c r="M676" s="82" t="e">
        <f>NA()</f>
        <v>#N/A</v>
      </c>
      <c r="N676" s="82" t="e">
        <f>NA()</f>
        <v>#N/A</v>
      </c>
      <c r="O676" s="82" t="e">
        <f>NA()</f>
        <v>#N/A</v>
      </c>
      <c r="P676" s="82" t="e">
        <f>NA()</f>
        <v>#N/A</v>
      </c>
      <c r="Q676" s="82" t="e">
        <f>NA()</f>
        <v>#N/A</v>
      </c>
      <c r="R676" s="82" t="e">
        <f>NA()</f>
        <v>#N/A</v>
      </c>
      <c r="S676" s="82" t="e">
        <f>NA()</f>
        <v>#N/A</v>
      </c>
      <c r="T676" s="82" t="e">
        <f>NA()</f>
        <v>#N/A</v>
      </c>
      <c r="U676" s="82" t="e">
        <f>NA()</f>
        <v>#N/A</v>
      </c>
      <c r="V676" s="82" t="e">
        <f>NA()</f>
        <v>#N/A</v>
      </c>
      <c r="W676" s="82" t="e">
        <f>NA()</f>
        <v>#N/A</v>
      </c>
      <c r="X676" s="82" t="e">
        <f>NA()</f>
        <v>#N/A</v>
      </c>
      <c r="Y676" s="82" t="e">
        <f>NA()</f>
        <v>#N/A</v>
      </c>
      <c r="Z676" s="82" t="e">
        <f>NA()</f>
        <v>#N/A</v>
      </c>
      <c r="AA676" s="82" t="e">
        <f>NA()</f>
        <v>#N/A</v>
      </c>
      <c r="AB676" s="82" t="e">
        <f>NA()</f>
        <v>#N/A</v>
      </c>
      <c r="AC676" s="82" t="e">
        <f>NA()</f>
        <v>#N/A</v>
      </c>
      <c r="AD676" s="82" t="e">
        <f>NA()</f>
        <v>#N/A</v>
      </c>
      <c r="AE676" s="82" t="e">
        <f>NA()</f>
        <v>#N/A</v>
      </c>
      <c r="AF676" s="82" t="e">
        <f>NA()</f>
        <v>#N/A</v>
      </c>
      <c r="AG676" s="82" t="e">
        <f>NA()</f>
        <v>#N/A</v>
      </c>
      <c r="AH676" s="82" t="e">
        <f>NA()</f>
        <v>#N/A</v>
      </c>
      <c r="AI676" s="82" t="e">
        <f>NA()</f>
        <v>#N/A</v>
      </c>
      <c r="AJ676" s="82" t="e">
        <f>NA()</f>
        <v>#N/A</v>
      </c>
      <c r="AK676" s="82" t="e">
        <f>NA()</f>
        <v>#N/A</v>
      </c>
      <c r="AL676" s="82" t="e">
        <f>NA()</f>
        <v>#N/A</v>
      </c>
      <c r="AM676" s="82" t="e">
        <f>NA()</f>
        <v>#N/A</v>
      </c>
      <c r="AN676" s="82" t="e">
        <f>NA()</f>
        <v>#N/A</v>
      </c>
      <c r="AO676" s="82" t="e">
        <f>NA()</f>
        <v>#N/A</v>
      </c>
      <c r="AP676" s="82" t="e">
        <f>NA()</f>
        <v>#N/A</v>
      </c>
      <c r="AQ676" s="82" t="e">
        <f>NA()</f>
        <v>#N/A</v>
      </c>
      <c r="AR676" s="82" t="e">
        <f>NA()</f>
        <v>#N/A</v>
      </c>
      <c r="AS676" s="82" t="e">
        <f>NA()</f>
        <v>#N/A</v>
      </c>
      <c r="AT676" s="82" t="e">
        <f>NA()</f>
        <v>#N/A</v>
      </c>
      <c r="AU676" s="82" t="e">
        <f>NA()</f>
        <v>#N/A</v>
      </c>
      <c r="AV676" s="82" t="e">
        <f>NA()</f>
        <v>#N/A</v>
      </c>
      <c r="AW676" s="82" t="e">
        <f>NA()</f>
        <v>#N/A</v>
      </c>
      <c r="AX676" s="82" t="e">
        <f>NA()</f>
        <v>#N/A</v>
      </c>
      <c r="AY676" s="82" t="e">
        <f>NA()</f>
        <v>#N/A</v>
      </c>
    </row>
  </sheetData>
  <mergeCells count="1">
    <mergeCell ref="A3:H3"/>
  </mergeCells>
  <dataValidations count="1">
    <dataValidation type="list" allowBlank="1" sqref="B603:AY603" xr:uid="{00000000-0002-0000-0600-000000000000}">
      <formula1>"TRUE,FALSE"</formula1>
    </dataValidation>
  </dataValidations>
  <pageMargins left="0.75" right="0.75" top="1" bottom="1" header="0.5" footer="0.5"/>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76"/>
  <sheetViews>
    <sheetView showGridLines="0" workbookViewId="0">
      <pane ySplit="7" topLeftCell="A8" activePane="bottomLeft" state="frozen"/>
      <selection pane="bottomLeft"/>
    </sheetView>
  </sheetViews>
  <sheetFormatPr defaultRowHeight="14.4" x14ac:dyDescent="0.3"/>
  <cols>
    <col min="1" max="1" width="22" customWidth="1"/>
    <col min="2" max="3" width="8" customWidth="1"/>
    <col min="4" max="5" width="16" customWidth="1"/>
    <col min="6" max="6" width="12" customWidth="1"/>
  </cols>
  <sheetData>
    <row r="1" spans="1:6" ht="17.399999999999999" customHeight="1" x14ac:dyDescent="0.3">
      <c r="A1" s="1" t="s">
        <v>913</v>
      </c>
    </row>
    <row r="2" spans="1:6" x14ac:dyDescent="0.3">
      <c r="A2" s="2" t="s">
        <v>914</v>
      </c>
    </row>
    <row r="3" spans="1:6" x14ac:dyDescent="0.3">
      <c r="A3" s="2" t="s">
        <v>915</v>
      </c>
    </row>
    <row r="5" spans="1:6" x14ac:dyDescent="0.3">
      <c r="A5" s="5" t="s">
        <v>916</v>
      </c>
      <c r="B5" s="50">
        <v>555947</v>
      </c>
    </row>
    <row r="7" spans="1:6" ht="27.6" customHeight="1" x14ac:dyDescent="0.3">
      <c r="A7" s="6" t="s">
        <v>917</v>
      </c>
      <c r="B7" s="6" t="s">
        <v>918</v>
      </c>
      <c r="C7" s="6" t="s">
        <v>919</v>
      </c>
      <c r="D7" s="6" t="s">
        <v>920</v>
      </c>
      <c r="E7" s="6" t="s">
        <v>8</v>
      </c>
      <c r="F7" s="6" t="s">
        <v>9</v>
      </c>
    </row>
    <row r="8" spans="1:6" x14ac:dyDescent="0.3">
      <c r="A8" s="7" t="s">
        <v>81</v>
      </c>
      <c r="B8" s="7">
        <v>2020</v>
      </c>
      <c r="C8" s="7">
        <v>1</v>
      </c>
      <c r="D8" s="8">
        <v>83</v>
      </c>
      <c r="E8" s="31">
        <f t="shared" ref="E8:E39" si="0">IFERROR(D8/$B$5*100000,"")</f>
        <v>14.929480687907301</v>
      </c>
      <c r="F8" s="9">
        <v>0.02</v>
      </c>
    </row>
    <row r="9" spans="1:6" x14ac:dyDescent="0.3">
      <c r="A9" s="7" t="s">
        <v>82</v>
      </c>
      <c r="B9" s="7">
        <v>2020</v>
      </c>
      <c r="C9" s="7">
        <v>2</v>
      </c>
      <c r="D9" s="8">
        <v>85</v>
      </c>
      <c r="E9" s="31">
        <f t="shared" si="0"/>
        <v>15.289227210507477</v>
      </c>
      <c r="F9" s="9">
        <v>0.02</v>
      </c>
    </row>
    <row r="10" spans="1:6" x14ac:dyDescent="0.3">
      <c r="A10" s="7" t="s">
        <v>83</v>
      </c>
      <c r="B10" s="7">
        <v>2020</v>
      </c>
      <c r="C10" s="7">
        <v>3</v>
      </c>
      <c r="D10" s="8">
        <v>88</v>
      </c>
      <c r="E10" s="31">
        <f t="shared" si="0"/>
        <v>15.828846994407741</v>
      </c>
      <c r="F10" s="9">
        <v>0.02</v>
      </c>
    </row>
    <row r="11" spans="1:6" x14ac:dyDescent="0.3">
      <c r="A11" s="7" t="s">
        <v>84</v>
      </c>
      <c r="B11" s="7">
        <v>2020</v>
      </c>
      <c r="C11" s="7">
        <v>4</v>
      </c>
      <c r="D11" s="8">
        <v>89</v>
      </c>
      <c r="E11" s="31">
        <f t="shared" si="0"/>
        <v>16.008720255707829</v>
      </c>
      <c r="F11" s="9">
        <v>0.02</v>
      </c>
    </row>
    <row r="12" spans="1:6" x14ac:dyDescent="0.3">
      <c r="A12" s="7" t="s">
        <v>85</v>
      </c>
      <c r="B12" s="7">
        <v>2020</v>
      </c>
      <c r="C12" s="7">
        <v>5</v>
      </c>
      <c r="D12" s="8">
        <v>85</v>
      </c>
      <c r="E12" s="31">
        <f t="shared" si="0"/>
        <v>15.289227210507477</v>
      </c>
      <c r="F12" s="9">
        <v>0.02</v>
      </c>
    </row>
    <row r="13" spans="1:6" x14ac:dyDescent="0.3">
      <c r="A13" s="7" t="s">
        <v>86</v>
      </c>
      <c r="B13" s="7">
        <v>2020</v>
      </c>
      <c r="C13" s="7">
        <v>6</v>
      </c>
      <c r="D13" s="8">
        <v>91</v>
      </c>
      <c r="E13" s="31">
        <f t="shared" si="0"/>
        <v>16.368466778308004</v>
      </c>
      <c r="F13" s="9">
        <v>0.02</v>
      </c>
    </row>
    <row r="14" spans="1:6" x14ac:dyDescent="0.3">
      <c r="A14" s="7" t="s">
        <v>87</v>
      </c>
      <c r="B14" s="7">
        <v>2020</v>
      </c>
      <c r="C14" s="7">
        <v>7</v>
      </c>
      <c r="D14" s="8">
        <v>92</v>
      </c>
      <c r="E14" s="31">
        <f t="shared" si="0"/>
        <v>16.548340039608092</v>
      </c>
      <c r="F14" s="9">
        <v>0.02</v>
      </c>
    </row>
    <row r="15" spans="1:6" x14ac:dyDescent="0.3">
      <c r="A15" s="7" t="s">
        <v>88</v>
      </c>
      <c r="B15" s="7">
        <v>2020</v>
      </c>
      <c r="C15" s="7">
        <v>8</v>
      </c>
      <c r="D15" s="8">
        <v>94</v>
      </c>
      <c r="E15" s="31">
        <f t="shared" si="0"/>
        <v>16.908086562208268</v>
      </c>
      <c r="F15" s="9">
        <v>0.04</v>
      </c>
    </row>
    <row r="16" spans="1:6" x14ac:dyDescent="0.3">
      <c r="A16" s="7" t="s">
        <v>89</v>
      </c>
      <c r="B16" s="7">
        <v>2020</v>
      </c>
      <c r="C16" s="7">
        <v>9</v>
      </c>
      <c r="D16" s="8">
        <v>92</v>
      </c>
      <c r="E16" s="31">
        <f t="shared" si="0"/>
        <v>16.548340039608092</v>
      </c>
      <c r="F16" s="9">
        <v>0.04</v>
      </c>
    </row>
    <row r="17" spans="1:6" x14ac:dyDescent="0.3">
      <c r="A17" s="7" t="s">
        <v>90</v>
      </c>
      <c r="B17" s="7">
        <v>2020</v>
      </c>
      <c r="C17" s="7">
        <v>10</v>
      </c>
      <c r="D17" s="8">
        <v>95</v>
      </c>
      <c r="E17" s="31">
        <f t="shared" si="0"/>
        <v>17.087959823508356</v>
      </c>
      <c r="F17" s="9">
        <v>0.04</v>
      </c>
    </row>
    <row r="18" spans="1:6" x14ac:dyDescent="0.3">
      <c r="A18" s="7" t="s">
        <v>91</v>
      </c>
      <c r="B18" s="7">
        <v>2020</v>
      </c>
      <c r="C18" s="7">
        <v>11</v>
      </c>
      <c r="D18" s="8">
        <v>99</v>
      </c>
      <c r="E18" s="31">
        <f t="shared" si="0"/>
        <v>17.807452868708708</v>
      </c>
      <c r="F18" s="9">
        <v>0.04</v>
      </c>
    </row>
    <row r="19" spans="1:6" x14ac:dyDescent="0.3">
      <c r="A19" s="7" t="s">
        <v>92</v>
      </c>
      <c r="B19" s="7">
        <v>2020</v>
      </c>
      <c r="C19" s="7">
        <v>12</v>
      </c>
      <c r="D19" s="8">
        <v>103</v>
      </c>
      <c r="E19" s="31">
        <f t="shared" si="0"/>
        <v>18.52694591390906</v>
      </c>
      <c r="F19" s="9">
        <v>0.04</v>
      </c>
    </row>
    <row r="20" spans="1:6" x14ac:dyDescent="0.3">
      <c r="A20" s="7" t="s">
        <v>93</v>
      </c>
      <c r="B20" s="7">
        <v>2021</v>
      </c>
      <c r="C20" s="7">
        <v>1</v>
      </c>
      <c r="D20" s="8">
        <v>98</v>
      </c>
      <c r="E20" s="31">
        <f t="shared" si="0"/>
        <v>17.62757960740862</v>
      </c>
      <c r="F20" s="9">
        <v>0.04</v>
      </c>
    </row>
    <row r="21" spans="1:6" x14ac:dyDescent="0.3">
      <c r="A21" s="7" t="s">
        <v>94</v>
      </c>
      <c r="B21" s="7">
        <v>2021</v>
      </c>
      <c r="C21" s="7">
        <v>2</v>
      </c>
      <c r="D21" s="8">
        <v>97</v>
      </c>
      <c r="E21" s="31">
        <f t="shared" si="0"/>
        <v>17.447706346108532</v>
      </c>
      <c r="F21" s="9">
        <v>0.04</v>
      </c>
    </row>
    <row r="22" spans="1:6" x14ac:dyDescent="0.3">
      <c r="A22" s="7" t="s">
        <v>95</v>
      </c>
      <c r="B22" s="7">
        <v>2021</v>
      </c>
      <c r="C22" s="7">
        <v>3</v>
      </c>
      <c r="D22" s="8">
        <v>104</v>
      </c>
      <c r="E22" s="31">
        <f t="shared" si="0"/>
        <v>18.706819175209148</v>
      </c>
      <c r="F22" s="9">
        <v>0.04</v>
      </c>
    </row>
    <row r="23" spans="1:6" x14ac:dyDescent="0.3">
      <c r="A23" s="7" t="s">
        <v>96</v>
      </c>
      <c r="B23" s="7">
        <v>2021</v>
      </c>
      <c r="C23" s="7">
        <v>4</v>
      </c>
      <c r="D23" s="8">
        <v>110</v>
      </c>
      <c r="E23" s="31">
        <f t="shared" si="0"/>
        <v>19.786058743009676</v>
      </c>
      <c r="F23" s="9">
        <v>0.04</v>
      </c>
    </row>
    <row r="24" spans="1:6" x14ac:dyDescent="0.3">
      <c r="A24" s="7" t="s">
        <v>97</v>
      </c>
      <c r="B24" s="7">
        <v>2021</v>
      </c>
      <c r="C24" s="7">
        <v>5</v>
      </c>
      <c r="D24" s="8">
        <v>109</v>
      </c>
      <c r="E24" s="31">
        <f t="shared" si="0"/>
        <v>19.606185481709588</v>
      </c>
      <c r="F24" s="9">
        <v>0.04</v>
      </c>
    </row>
    <row r="25" spans="1:6" x14ac:dyDescent="0.3">
      <c r="A25" s="7" t="s">
        <v>98</v>
      </c>
      <c r="B25" s="7">
        <v>2021</v>
      </c>
      <c r="C25" s="7">
        <v>6</v>
      </c>
      <c r="D25" s="8">
        <v>111</v>
      </c>
      <c r="E25" s="31">
        <f t="shared" si="0"/>
        <v>19.965932004309764</v>
      </c>
      <c r="F25" s="9">
        <v>0.04</v>
      </c>
    </row>
    <row r="26" spans="1:6" x14ac:dyDescent="0.3">
      <c r="A26" s="7" t="s">
        <v>99</v>
      </c>
      <c r="B26" s="7">
        <v>2021</v>
      </c>
      <c r="C26" s="7">
        <v>7</v>
      </c>
      <c r="D26" s="8">
        <v>130</v>
      </c>
      <c r="E26" s="31">
        <f t="shared" si="0"/>
        <v>23.383523969011435</v>
      </c>
      <c r="F26" s="9">
        <v>0.04</v>
      </c>
    </row>
    <row r="27" spans="1:6" x14ac:dyDescent="0.3">
      <c r="A27" s="7" t="s">
        <v>100</v>
      </c>
      <c r="B27" s="7">
        <v>2021</v>
      </c>
      <c r="C27" s="7">
        <v>8</v>
      </c>
      <c r="D27" s="8">
        <v>140</v>
      </c>
      <c r="E27" s="31">
        <f t="shared" si="0"/>
        <v>25.182256582012315</v>
      </c>
      <c r="F27" s="9">
        <v>0.02</v>
      </c>
    </row>
    <row r="28" spans="1:6" x14ac:dyDescent="0.3">
      <c r="A28" s="7" t="s">
        <v>101</v>
      </c>
      <c r="B28" s="7">
        <v>2021</v>
      </c>
      <c r="C28" s="7">
        <v>9</v>
      </c>
      <c r="D28" s="8">
        <v>155</v>
      </c>
      <c r="E28" s="31">
        <f t="shared" si="0"/>
        <v>27.880355501513634</v>
      </c>
      <c r="F28" s="9">
        <v>0.03</v>
      </c>
    </row>
    <row r="29" spans="1:6" x14ac:dyDescent="0.3">
      <c r="A29" s="7" t="s">
        <v>102</v>
      </c>
      <c r="B29" s="7">
        <v>2021</v>
      </c>
      <c r="C29" s="7">
        <v>10</v>
      </c>
      <c r="D29" s="8">
        <v>169</v>
      </c>
      <c r="E29" s="31">
        <f t="shared" si="0"/>
        <v>30.398581159714865</v>
      </c>
      <c r="F29" s="9">
        <v>0.03</v>
      </c>
    </row>
    <row r="30" spans="1:6" x14ac:dyDescent="0.3">
      <c r="A30" s="7" t="s">
        <v>103</v>
      </c>
      <c r="B30" s="7">
        <v>2021</v>
      </c>
      <c r="C30" s="7">
        <v>11</v>
      </c>
      <c r="D30" s="8">
        <v>178</v>
      </c>
      <c r="E30" s="31">
        <f t="shared" si="0"/>
        <v>32.017440511415657</v>
      </c>
      <c r="F30" s="9">
        <v>0.03</v>
      </c>
    </row>
    <row r="31" spans="1:6" x14ac:dyDescent="0.3">
      <c r="A31" s="7" t="s">
        <v>104</v>
      </c>
      <c r="B31" s="7">
        <v>2021</v>
      </c>
      <c r="C31" s="7">
        <v>12</v>
      </c>
      <c r="D31" s="8">
        <v>184</v>
      </c>
      <c r="E31" s="31">
        <f t="shared" si="0"/>
        <v>33.096680079216185</v>
      </c>
      <c r="F31" s="9">
        <v>0.03</v>
      </c>
    </row>
    <row r="32" spans="1:6" x14ac:dyDescent="0.3">
      <c r="A32" s="7" t="s">
        <v>105</v>
      </c>
      <c r="B32" s="7">
        <v>2022</v>
      </c>
      <c r="C32" s="7">
        <v>1</v>
      </c>
      <c r="D32" s="8">
        <v>193</v>
      </c>
      <c r="E32" s="31">
        <f t="shared" si="0"/>
        <v>34.715539430916976</v>
      </c>
      <c r="F32" s="9">
        <v>0.03</v>
      </c>
    </row>
    <row r="33" spans="1:6" x14ac:dyDescent="0.3">
      <c r="A33" s="7" t="s">
        <v>106</v>
      </c>
      <c r="B33" s="7">
        <v>2022</v>
      </c>
      <c r="C33" s="7">
        <v>2</v>
      </c>
      <c r="D33" s="8">
        <v>204</v>
      </c>
      <c r="E33" s="31">
        <f t="shared" si="0"/>
        <v>36.694145305217944</v>
      </c>
      <c r="F33" s="9">
        <v>0.03</v>
      </c>
    </row>
    <row r="34" spans="1:6" x14ac:dyDescent="0.3">
      <c r="A34" s="7" t="s">
        <v>107</v>
      </c>
      <c r="B34" s="7">
        <v>2022</v>
      </c>
      <c r="C34" s="7">
        <v>3</v>
      </c>
      <c r="D34" s="8">
        <v>214</v>
      </c>
      <c r="E34" s="31">
        <f t="shared" si="0"/>
        <v>38.492877918218824</v>
      </c>
      <c r="F34" s="9">
        <v>0.03</v>
      </c>
    </row>
    <row r="35" spans="1:6" x14ac:dyDescent="0.3">
      <c r="A35" s="7" t="s">
        <v>108</v>
      </c>
      <c r="B35" s="7">
        <v>2022</v>
      </c>
      <c r="C35" s="7">
        <v>4</v>
      </c>
      <c r="D35" s="8">
        <v>215</v>
      </c>
      <c r="E35" s="31">
        <f t="shared" si="0"/>
        <v>38.672751179518912</v>
      </c>
      <c r="F35" s="9">
        <v>0.03</v>
      </c>
    </row>
    <row r="36" spans="1:6" x14ac:dyDescent="0.3">
      <c r="A36" s="7" t="s">
        <v>109</v>
      </c>
      <c r="B36" s="7">
        <v>2022</v>
      </c>
      <c r="C36" s="7">
        <v>5</v>
      </c>
      <c r="D36" s="8">
        <v>225</v>
      </c>
      <c r="E36" s="31">
        <f t="shared" si="0"/>
        <v>40.471483792519791</v>
      </c>
      <c r="F36" s="9">
        <v>0.03</v>
      </c>
    </row>
    <row r="37" spans="1:6" x14ac:dyDescent="0.3">
      <c r="A37" s="7" t="s">
        <v>110</v>
      </c>
      <c r="B37" s="7">
        <v>2022</v>
      </c>
      <c r="C37" s="7">
        <v>6</v>
      </c>
      <c r="D37" s="8">
        <v>230</v>
      </c>
      <c r="E37" s="31">
        <f t="shared" si="0"/>
        <v>41.370850099020231</v>
      </c>
      <c r="F37" s="9">
        <v>0.03</v>
      </c>
    </row>
    <row r="38" spans="1:6" x14ac:dyDescent="0.3">
      <c r="A38" s="7" t="s">
        <v>111</v>
      </c>
      <c r="B38" s="7">
        <v>2022</v>
      </c>
      <c r="C38" s="7">
        <v>7</v>
      </c>
      <c r="D38" s="8">
        <v>223</v>
      </c>
      <c r="E38" s="31">
        <f t="shared" si="0"/>
        <v>40.111737269919615</v>
      </c>
      <c r="F38" s="9">
        <v>0.03</v>
      </c>
    </row>
    <row r="39" spans="1:6" x14ac:dyDescent="0.3">
      <c r="A39" s="7" t="s">
        <v>112</v>
      </c>
      <c r="B39" s="7">
        <v>2022</v>
      </c>
      <c r="C39" s="7">
        <v>8</v>
      </c>
      <c r="D39" s="8">
        <v>219</v>
      </c>
      <c r="E39" s="31">
        <f t="shared" si="0"/>
        <v>39.392244224719263</v>
      </c>
      <c r="F39" s="9">
        <v>0.03</v>
      </c>
    </row>
    <row r="40" spans="1:6" x14ac:dyDescent="0.3">
      <c r="A40" s="7" t="s">
        <v>113</v>
      </c>
      <c r="B40" s="7">
        <v>2022</v>
      </c>
      <c r="C40" s="7">
        <v>9</v>
      </c>
      <c r="D40" s="8">
        <v>213</v>
      </c>
      <c r="E40" s="31">
        <f t="shared" ref="E40:E71" si="1">IFERROR(D40/$B$5*100000,"")</f>
        <v>38.313004656918736</v>
      </c>
      <c r="F40" s="9">
        <v>0.02</v>
      </c>
    </row>
    <row r="41" spans="1:6" x14ac:dyDescent="0.3">
      <c r="A41" s="7" t="s">
        <v>114</v>
      </c>
      <c r="B41" s="7">
        <v>2022</v>
      </c>
      <c r="C41" s="7">
        <v>10</v>
      </c>
      <c r="D41" s="8">
        <v>214</v>
      </c>
      <c r="E41" s="31">
        <f t="shared" si="1"/>
        <v>38.492877918218824</v>
      </c>
      <c r="F41" s="9">
        <v>0</v>
      </c>
    </row>
    <row r="42" spans="1:6" x14ac:dyDescent="0.3">
      <c r="A42" s="7" t="s">
        <v>115</v>
      </c>
      <c r="B42" s="7">
        <v>2022</v>
      </c>
      <c r="C42" s="7">
        <v>11</v>
      </c>
      <c r="D42" s="8">
        <v>214</v>
      </c>
      <c r="E42" s="31">
        <f t="shared" si="1"/>
        <v>38.492877918218824</v>
      </c>
      <c r="F42" s="9">
        <v>0</v>
      </c>
    </row>
    <row r="43" spans="1:6" x14ac:dyDescent="0.3">
      <c r="A43" s="7" t="s">
        <v>116</v>
      </c>
      <c r="B43" s="7">
        <v>2022</v>
      </c>
      <c r="C43" s="7">
        <v>12</v>
      </c>
      <c r="D43" s="8">
        <v>216</v>
      </c>
      <c r="E43" s="31">
        <f t="shared" si="1"/>
        <v>38.852624440819</v>
      </c>
      <c r="F43" s="9">
        <v>0.02</v>
      </c>
    </row>
    <row r="44" spans="1:6" x14ac:dyDescent="0.3">
      <c r="A44" s="7" t="s">
        <v>117</v>
      </c>
      <c r="B44" s="7">
        <v>2023</v>
      </c>
      <c r="C44" s="7">
        <v>1</v>
      </c>
      <c r="D44" s="8">
        <v>220</v>
      </c>
      <c r="E44" s="31">
        <f t="shared" si="1"/>
        <v>39.572117486019351</v>
      </c>
      <c r="F44" s="9">
        <v>0.02</v>
      </c>
    </row>
    <row r="45" spans="1:6" x14ac:dyDescent="0.3">
      <c r="A45" s="7" t="s">
        <v>118</v>
      </c>
      <c r="B45" s="7">
        <v>2023</v>
      </c>
      <c r="C45" s="7">
        <v>2</v>
      </c>
      <c r="D45" s="8">
        <v>223</v>
      </c>
      <c r="E45" s="31">
        <f t="shared" si="1"/>
        <v>40.111737269919615</v>
      </c>
      <c r="F45" s="9">
        <v>0.02</v>
      </c>
    </row>
    <row r="46" spans="1:6" x14ac:dyDescent="0.3">
      <c r="A46" s="7" t="s">
        <v>119</v>
      </c>
      <c r="B46" s="7">
        <v>2023</v>
      </c>
      <c r="C46" s="7">
        <v>3</v>
      </c>
      <c r="D46" s="8">
        <v>219</v>
      </c>
      <c r="E46" s="31">
        <f t="shared" si="1"/>
        <v>39.392244224719263</v>
      </c>
      <c r="F46" s="9">
        <v>0.02</v>
      </c>
    </row>
    <row r="47" spans="1:6" x14ac:dyDescent="0.3">
      <c r="A47" s="7" t="s">
        <v>120</v>
      </c>
      <c r="B47" s="7">
        <v>2023</v>
      </c>
      <c r="C47" s="7">
        <v>4</v>
      </c>
      <c r="D47" s="8">
        <v>222</v>
      </c>
      <c r="E47" s="31">
        <f t="shared" si="1"/>
        <v>39.931864008619527</v>
      </c>
      <c r="F47" s="9">
        <v>0.02</v>
      </c>
    </row>
    <row r="48" spans="1:6" x14ac:dyDescent="0.3">
      <c r="A48" s="7" t="s">
        <v>121</v>
      </c>
      <c r="B48" s="7">
        <v>2023</v>
      </c>
      <c r="C48" s="7">
        <v>5</v>
      </c>
      <c r="D48" s="8">
        <v>223</v>
      </c>
      <c r="E48" s="31">
        <f t="shared" si="1"/>
        <v>40.111737269919615</v>
      </c>
      <c r="F48" s="9">
        <v>0.02</v>
      </c>
    </row>
    <row r="49" spans="1:6" x14ac:dyDescent="0.3">
      <c r="A49" s="7" t="s">
        <v>122</v>
      </c>
      <c r="B49" s="7">
        <v>2023</v>
      </c>
      <c r="C49" s="7">
        <v>6</v>
      </c>
      <c r="D49" s="8">
        <v>224</v>
      </c>
      <c r="E49" s="31">
        <f t="shared" si="1"/>
        <v>40.291610531219703</v>
      </c>
      <c r="F49" s="9">
        <v>0.02</v>
      </c>
    </row>
    <row r="50" spans="1:6" x14ac:dyDescent="0.3">
      <c r="A50" s="7" t="s">
        <v>123</v>
      </c>
      <c r="B50" s="7">
        <v>2023</v>
      </c>
      <c r="C50" s="7">
        <v>7</v>
      </c>
      <c r="D50" s="8">
        <v>232</v>
      </c>
      <c r="E50" s="31">
        <f t="shared" si="1"/>
        <v>41.730596621620407</v>
      </c>
      <c r="F50" s="9">
        <v>0.02</v>
      </c>
    </row>
    <row r="51" spans="1:6" x14ac:dyDescent="0.3">
      <c r="A51" s="7" t="s">
        <v>124</v>
      </c>
      <c r="B51" s="7">
        <v>2023</v>
      </c>
      <c r="C51" s="7">
        <v>8</v>
      </c>
      <c r="D51" s="8">
        <v>236</v>
      </c>
      <c r="E51" s="31">
        <f t="shared" si="1"/>
        <v>42.450089666820759</v>
      </c>
      <c r="F51" s="9">
        <v>0.02</v>
      </c>
    </row>
    <row r="52" spans="1:6" x14ac:dyDescent="0.3">
      <c r="A52" s="7" t="s">
        <v>125</v>
      </c>
      <c r="B52" s="7">
        <v>2023</v>
      </c>
      <c r="C52" s="7">
        <v>9</v>
      </c>
      <c r="D52" s="8">
        <v>239</v>
      </c>
      <c r="E52" s="31">
        <f t="shared" si="1"/>
        <v>42.989709450721023</v>
      </c>
      <c r="F52" s="9">
        <v>0.02</v>
      </c>
    </row>
    <row r="53" spans="1:6" x14ac:dyDescent="0.3">
      <c r="A53" s="7" t="s">
        <v>126</v>
      </c>
      <c r="B53" s="7">
        <v>2023</v>
      </c>
      <c r="C53" s="7">
        <v>10</v>
      </c>
      <c r="D53" s="8">
        <v>228</v>
      </c>
      <c r="E53" s="31">
        <f t="shared" si="1"/>
        <v>41.011103576420055</v>
      </c>
      <c r="F53" s="9">
        <v>0.02</v>
      </c>
    </row>
    <row r="54" spans="1:6" x14ac:dyDescent="0.3">
      <c r="A54" s="7" t="s">
        <v>127</v>
      </c>
      <c r="B54" s="7">
        <v>2023</v>
      </c>
      <c r="C54" s="7">
        <v>11</v>
      </c>
      <c r="D54" s="8">
        <v>226</v>
      </c>
      <c r="E54" s="31">
        <f t="shared" si="1"/>
        <v>40.651357053819879</v>
      </c>
      <c r="F54" s="9">
        <v>0.02</v>
      </c>
    </row>
    <row r="55" spans="1:6" x14ac:dyDescent="0.3">
      <c r="A55" s="7" t="s">
        <v>128</v>
      </c>
      <c r="B55" s="7">
        <v>2023</v>
      </c>
      <c r="C55" s="7">
        <v>12</v>
      </c>
      <c r="D55" s="8">
        <v>233</v>
      </c>
      <c r="E55" s="31">
        <f t="shared" si="1"/>
        <v>41.910469882920495</v>
      </c>
      <c r="F55" s="9">
        <v>0.02</v>
      </c>
    </row>
    <row r="56" spans="1:6" x14ac:dyDescent="0.3">
      <c r="A56" s="7" t="s">
        <v>129</v>
      </c>
      <c r="B56" s="7">
        <v>2024</v>
      </c>
      <c r="C56" s="7">
        <v>1</v>
      </c>
      <c r="D56" s="8">
        <v>237</v>
      </c>
      <c r="E56" s="31">
        <f t="shared" si="1"/>
        <v>42.629962928120847</v>
      </c>
      <c r="F56" s="9">
        <v>0.02</v>
      </c>
    </row>
    <row r="57" spans="1:6" x14ac:dyDescent="0.3">
      <c r="A57" s="7" t="s">
        <v>130</v>
      </c>
      <c r="B57" s="7">
        <v>2024</v>
      </c>
      <c r="C57" s="7">
        <v>2</v>
      </c>
      <c r="D57" s="8">
        <v>246</v>
      </c>
      <c r="E57" s="31">
        <f t="shared" si="1"/>
        <v>44.248822279821638</v>
      </c>
      <c r="F57" s="9">
        <v>0.02</v>
      </c>
    </row>
    <row r="58" spans="1:6" x14ac:dyDescent="0.3">
      <c r="A58" s="7" t="s">
        <v>131</v>
      </c>
      <c r="B58" s="7">
        <v>2024</v>
      </c>
      <c r="C58" s="7">
        <v>3</v>
      </c>
      <c r="D58" s="8">
        <v>255</v>
      </c>
      <c r="E58" s="31">
        <f t="shared" si="1"/>
        <v>45.86768163152243</v>
      </c>
      <c r="F58" s="9">
        <v>0.02</v>
      </c>
    </row>
    <row r="59" spans="1:6" x14ac:dyDescent="0.3">
      <c r="A59" s="7" t="s">
        <v>132</v>
      </c>
      <c r="B59" s="7">
        <v>2024</v>
      </c>
      <c r="C59" s="7">
        <v>4</v>
      </c>
      <c r="D59" s="8">
        <v>266</v>
      </c>
      <c r="E59" s="31">
        <f t="shared" si="1"/>
        <v>47.846287505823398</v>
      </c>
      <c r="F59" s="9">
        <v>0.02</v>
      </c>
    </row>
    <row r="60" spans="1:6" x14ac:dyDescent="0.3">
      <c r="A60" s="7" t="s">
        <v>133</v>
      </c>
      <c r="B60" s="7">
        <v>2024</v>
      </c>
      <c r="C60" s="7">
        <v>5</v>
      </c>
      <c r="D60" s="8">
        <v>273</v>
      </c>
      <c r="E60" s="31">
        <f t="shared" si="1"/>
        <v>49.105400334924013</v>
      </c>
      <c r="F60" s="9">
        <v>0.02</v>
      </c>
    </row>
    <row r="61" spans="1:6" x14ac:dyDescent="0.3">
      <c r="A61" s="7" t="s">
        <v>134</v>
      </c>
      <c r="B61" s="7">
        <v>2024</v>
      </c>
      <c r="C61" s="7">
        <v>6</v>
      </c>
      <c r="D61" s="8">
        <v>281</v>
      </c>
      <c r="E61" s="31">
        <f t="shared" si="1"/>
        <v>50.544386425324717</v>
      </c>
      <c r="F61" s="9">
        <v>0.02</v>
      </c>
    </row>
    <row r="62" spans="1:6" x14ac:dyDescent="0.3">
      <c r="A62" s="7" t="s">
        <v>135</v>
      </c>
      <c r="B62" s="7">
        <v>2024</v>
      </c>
      <c r="C62" s="7">
        <v>7</v>
      </c>
      <c r="D62" s="8">
        <v>284</v>
      </c>
      <c r="E62" s="31">
        <f t="shared" si="1"/>
        <v>51.084006209224981</v>
      </c>
      <c r="F62" s="9">
        <v>0.02</v>
      </c>
    </row>
    <row r="63" spans="1:6" x14ac:dyDescent="0.3">
      <c r="A63" s="7" t="s">
        <v>136</v>
      </c>
      <c r="B63" s="7">
        <v>2024</v>
      </c>
      <c r="C63" s="7">
        <v>8</v>
      </c>
      <c r="D63" s="8">
        <v>284</v>
      </c>
      <c r="E63" s="31">
        <f t="shared" si="1"/>
        <v>51.084006209224981</v>
      </c>
      <c r="F63" s="9">
        <v>0.02</v>
      </c>
    </row>
    <row r="64" spans="1:6" x14ac:dyDescent="0.3">
      <c r="A64" s="7" t="s">
        <v>137</v>
      </c>
      <c r="B64" s="7">
        <v>2024</v>
      </c>
      <c r="C64" s="7">
        <v>9</v>
      </c>
      <c r="D64" s="8">
        <v>294</v>
      </c>
      <c r="E64" s="31">
        <f t="shared" si="1"/>
        <v>52.882738822225868</v>
      </c>
      <c r="F64" s="9">
        <v>0.02</v>
      </c>
    </row>
    <row r="65" spans="1:6" x14ac:dyDescent="0.3">
      <c r="A65" s="7" t="s">
        <v>138</v>
      </c>
      <c r="B65" s="7">
        <v>2024</v>
      </c>
      <c r="C65" s="7">
        <v>10</v>
      </c>
      <c r="D65" s="8">
        <v>308</v>
      </c>
      <c r="E65" s="31">
        <f t="shared" si="1"/>
        <v>55.400964480427092</v>
      </c>
      <c r="F65" s="9">
        <v>0.02</v>
      </c>
    </row>
    <row r="66" spans="1:6" x14ac:dyDescent="0.3">
      <c r="A66" s="7" t="s">
        <v>139</v>
      </c>
      <c r="B66" s="7">
        <v>2024</v>
      </c>
      <c r="C66" s="7">
        <v>11</v>
      </c>
      <c r="D66" s="8">
        <v>312</v>
      </c>
      <c r="E66" s="31">
        <f t="shared" si="1"/>
        <v>56.120457525627444</v>
      </c>
      <c r="F66" s="9">
        <v>0.02</v>
      </c>
    </row>
    <row r="67" spans="1:6" x14ac:dyDescent="0.3">
      <c r="A67" s="7" t="s">
        <v>140</v>
      </c>
      <c r="B67" s="7">
        <v>2024</v>
      </c>
      <c r="C67" s="7">
        <v>12</v>
      </c>
      <c r="D67" s="8">
        <v>316</v>
      </c>
      <c r="E67" s="31">
        <f t="shared" si="1"/>
        <v>56.839950570827789</v>
      </c>
      <c r="F67" s="9">
        <v>0</v>
      </c>
    </row>
    <row r="68" spans="1:6" x14ac:dyDescent="0.3">
      <c r="A68" s="7" t="s">
        <v>141</v>
      </c>
      <c r="B68" s="7">
        <v>2025</v>
      </c>
      <c r="C68" s="7">
        <v>1</v>
      </c>
      <c r="D68" s="8">
        <v>330</v>
      </c>
      <c r="E68" s="31">
        <f t="shared" si="1"/>
        <v>59.358176229029027</v>
      </c>
      <c r="F68" s="9">
        <v>0</v>
      </c>
    </row>
    <row r="69" spans="1:6" x14ac:dyDescent="0.3">
      <c r="A69" s="7" t="s">
        <v>142</v>
      </c>
      <c r="B69" s="7">
        <v>2025</v>
      </c>
      <c r="C69" s="7">
        <v>2</v>
      </c>
      <c r="D69" s="8">
        <v>330</v>
      </c>
      <c r="E69" s="31">
        <f t="shared" si="1"/>
        <v>59.358176229029027</v>
      </c>
      <c r="F69" s="9">
        <v>0</v>
      </c>
    </row>
    <row r="70" spans="1:6" x14ac:dyDescent="0.3">
      <c r="A70" s="7" t="s">
        <v>143</v>
      </c>
      <c r="B70" s="7">
        <v>2025</v>
      </c>
      <c r="C70" s="7">
        <v>3</v>
      </c>
      <c r="D70" s="8">
        <v>332</v>
      </c>
      <c r="E70" s="31">
        <f t="shared" si="1"/>
        <v>59.717922751629203</v>
      </c>
      <c r="F70" s="9">
        <v>0</v>
      </c>
    </row>
    <row r="71" spans="1:6" x14ac:dyDescent="0.3">
      <c r="A71" s="7" t="s">
        <v>144</v>
      </c>
      <c r="B71" s="7">
        <v>2025</v>
      </c>
      <c r="C71" s="7">
        <v>4</v>
      </c>
      <c r="D71" s="8">
        <v>331</v>
      </c>
      <c r="E71" s="31">
        <f t="shared" si="1"/>
        <v>59.538049490329115</v>
      </c>
      <c r="F71" s="9">
        <v>0</v>
      </c>
    </row>
    <row r="72" spans="1:6" x14ac:dyDescent="0.3">
      <c r="A72" s="7" t="s">
        <v>145</v>
      </c>
      <c r="B72" s="7">
        <v>2025</v>
      </c>
      <c r="C72" s="7">
        <v>5</v>
      </c>
      <c r="D72" s="8">
        <v>326</v>
      </c>
      <c r="E72" s="31">
        <f t="shared" ref="E72:E103" si="2">IFERROR(D72/$B$5*100000,"")</f>
        <v>58.638683183828675</v>
      </c>
      <c r="F72" s="9">
        <v>0</v>
      </c>
    </row>
    <row r="73" spans="1:6" x14ac:dyDescent="0.3">
      <c r="A73" s="7" t="s">
        <v>146</v>
      </c>
      <c r="B73" s="7">
        <v>2025</v>
      </c>
      <c r="C73" s="7">
        <v>6</v>
      </c>
      <c r="D73" s="8">
        <v>320</v>
      </c>
      <c r="E73" s="31">
        <f t="shared" si="2"/>
        <v>57.55944361602814</v>
      </c>
      <c r="F73" s="9">
        <v>0</v>
      </c>
    </row>
    <row r="74" spans="1:6" x14ac:dyDescent="0.3">
      <c r="A74" s="7" t="s">
        <v>147</v>
      </c>
      <c r="B74" s="7">
        <v>2025</v>
      </c>
      <c r="C74" s="7">
        <v>7</v>
      </c>
      <c r="D74" s="8">
        <v>324</v>
      </c>
      <c r="E74" s="31">
        <f t="shared" si="2"/>
        <v>58.278936661228499</v>
      </c>
      <c r="F74" s="9">
        <v>0.02</v>
      </c>
    </row>
    <row r="75" spans="1:6" x14ac:dyDescent="0.3">
      <c r="A75" s="7" t="s">
        <v>148</v>
      </c>
      <c r="B75" s="7">
        <v>2025</v>
      </c>
      <c r="C75" s="7">
        <v>8</v>
      </c>
      <c r="D75" s="8">
        <v>331</v>
      </c>
      <c r="E75" s="31">
        <f t="shared" si="2"/>
        <v>59.538049490329115</v>
      </c>
      <c r="F75" s="9">
        <v>0.02</v>
      </c>
    </row>
    <row r="76" spans="1:6" x14ac:dyDescent="0.3">
      <c r="A76" s="7" t="s">
        <v>149</v>
      </c>
      <c r="B76" s="7">
        <v>2025</v>
      </c>
      <c r="C76" s="7">
        <v>9</v>
      </c>
      <c r="D76" s="8">
        <v>322</v>
      </c>
      <c r="E76" s="31">
        <f t="shared" si="2"/>
        <v>57.919190138628331</v>
      </c>
      <c r="F76" s="9">
        <v>0.02</v>
      </c>
    </row>
  </sheetData>
  <pageMargins left="0.75" right="0.75" top="1" bottom="1" header="0.5" footer="0.5"/>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7"/>
  <sheetViews>
    <sheetView showGridLines="0" workbookViewId="0"/>
  </sheetViews>
  <sheetFormatPr defaultRowHeight="14.4" x14ac:dyDescent="0.3"/>
  <cols>
    <col min="1" max="1" width="40" customWidth="1"/>
    <col min="2" max="2" width="18" customWidth="1"/>
    <col min="3" max="3" width="50" customWidth="1"/>
  </cols>
  <sheetData>
    <row r="1" spans="1:3" ht="17.399999999999999" customHeight="1" x14ac:dyDescent="0.3">
      <c r="A1" s="1" t="s">
        <v>921</v>
      </c>
    </row>
    <row r="2" spans="1:3" x14ac:dyDescent="0.3">
      <c r="A2" s="2" t="s">
        <v>922</v>
      </c>
    </row>
    <row r="3" spans="1:3" x14ac:dyDescent="0.3">
      <c r="A3" s="2" t="s">
        <v>923</v>
      </c>
    </row>
    <row r="5" spans="1:3" ht="15.6" customHeight="1" x14ac:dyDescent="0.3">
      <c r="A5" s="34" t="s">
        <v>924</v>
      </c>
    </row>
    <row r="6" spans="1:3" x14ac:dyDescent="0.3">
      <c r="A6" s="5" t="s">
        <v>925</v>
      </c>
      <c r="B6" s="51" t="s">
        <v>926</v>
      </c>
      <c r="C6" s="37" t="s">
        <v>927</v>
      </c>
    </row>
    <row r="7" spans="1:3" x14ac:dyDescent="0.3">
      <c r="A7" s="5" t="s">
        <v>928</v>
      </c>
      <c r="B7" s="51" t="s">
        <v>929</v>
      </c>
      <c r="C7" s="37" t="s">
        <v>930</v>
      </c>
    </row>
    <row r="8" spans="1:3" x14ac:dyDescent="0.3">
      <c r="A8" s="5" t="s">
        <v>931</v>
      </c>
      <c r="B8" s="52">
        <v>6</v>
      </c>
      <c r="C8" s="37" t="s">
        <v>932</v>
      </c>
    </row>
    <row r="9" spans="1:3" x14ac:dyDescent="0.3">
      <c r="A9" s="5" t="s">
        <v>933</v>
      </c>
      <c r="B9" s="52"/>
      <c r="C9" s="37" t="s">
        <v>934</v>
      </c>
    </row>
    <row r="10" spans="1:3" x14ac:dyDescent="0.3">
      <c r="A10" s="5" t="s">
        <v>935</v>
      </c>
      <c r="B10" s="53">
        <f>IFERROR(B9/B8*12,"")</f>
        <v>0</v>
      </c>
      <c r="C10" s="37" t="s">
        <v>936</v>
      </c>
    </row>
    <row r="11" spans="1:3" x14ac:dyDescent="0.3">
      <c r="A11" s="5" t="s">
        <v>916</v>
      </c>
      <c r="B11" s="52">
        <v>555947</v>
      </c>
      <c r="C11" s="37" t="s">
        <v>937</v>
      </c>
    </row>
    <row r="12" spans="1:3" x14ac:dyDescent="0.3">
      <c r="A12" s="5" t="s">
        <v>938</v>
      </c>
      <c r="B12" s="31">
        <f>IFERROR(B10/B11*100000,"")</f>
        <v>0</v>
      </c>
      <c r="C12" s="37" t="s">
        <v>939</v>
      </c>
    </row>
    <row r="14" spans="1:3" ht="15.6" customHeight="1" x14ac:dyDescent="0.3">
      <c r="A14" s="34" t="s">
        <v>940</v>
      </c>
    </row>
    <row r="15" spans="1:3" x14ac:dyDescent="0.3">
      <c r="A15" s="5" t="s">
        <v>941</v>
      </c>
      <c r="B15" s="54">
        <f>'Spokane Trend'!D76</f>
        <v>322</v>
      </c>
      <c r="C15" s="37" t="s">
        <v>942</v>
      </c>
    </row>
    <row r="16" spans="1:3" x14ac:dyDescent="0.3">
      <c r="A16" s="5" t="s">
        <v>943</v>
      </c>
      <c r="B16" s="31">
        <f>IFERROR(B15/B11*100000,"")</f>
        <v>57.919190138628331</v>
      </c>
      <c r="C16" s="37" t="s">
        <v>944</v>
      </c>
    </row>
    <row r="18" spans="1:3" ht="15.6" customHeight="1" x14ac:dyDescent="0.3">
      <c r="A18" s="34" t="s">
        <v>945</v>
      </c>
    </row>
    <row r="19" spans="1:3" x14ac:dyDescent="0.3">
      <c r="A19" s="5" t="s">
        <v>946</v>
      </c>
      <c r="B19" s="55">
        <f>IFERROR(B12-B16,"")</f>
        <v>-57.919190138628331</v>
      </c>
      <c r="C19" s="37" t="s">
        <v>947</v>
      </c>
    </row>
    <row r="20" spans="1:3" x14ac:dyDescent="0.3">
      <c r="A20" s="5" t="s">
        <v>948</v>
      </c>
      <c r="B20" s="56">
        <f>IFERROR((B12-B16)/B16,"")</f>
        <v>-1</v>
      </c>
      <c r="C20" s="37" t="s">
        <v>949</v>
      </c>
    </row>
    <row r="22" spans="1:3" ht="15.6" customHeight="1" x14ac:dyDescent="0.3">
      <c r="A22" s="34" t="s">
        <v>950</v>
      </c>
    </row>
    <row r="23" spans="1:3" x14ac:dyDescent="0.3">
      <c r="A23" s="117" t="s">
        <v>951</v>
      </c>
      <c r="B23" s="118"/>
      <c r="C23" s="118"/>
    </row>
    <row r="24" spans="1:3" x14ac:dyDescent="0.3">
      <c r="A24" s="117" t="s">
        <v>952</v>
      </c>
      <c r="B24" s="118"/>
      <c r="C24" s="118"/>
    </row>
    <row r="25" spans="1:3" x14ac:dyDescent="0.3">
      <c r="A25" s="117" t="s">
        <v>953</v>
      </c>
      <c r="B25" s="118"/>
      <c r="C25" s="118"/>
    </row>
    <row r="26" spans="1:3" x14ac:dyDescent="0.3">
      <c r="A26" s="117" t="s">
        <v>954</v>
      </c>
      <c r="B26" s="118"/>
      <c r="C26" s="118"/>
    </row>
    <row r="27" spans="1:3" x14ac:dyDescent="0.3">
      <c r="A27" s="117" t="s">
        <v>955</v>
      </c>
      <c r="B27" s="118"/>
      <c r="C27" s="118"/>
    </row>
  </sheetData>
  <mergeCells count="5">
    <mergeCell ref="A25:C25"/>
    <mergeCell ref="A23:C23"/>
    <mergeCell ref="A27:C27"/>
    <mergeCell ref="A26:C26"/>
    <mergeCell ref="A24:C24"/>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README</vt:lpstr>
      <vt:lpstr>Top 25 (Pop&gt; 200K)</vt:lpstr>
      <vt:lpstr>Top 25 (Pop &gt;300K)</vt:lpstr>
      <vt:lpstr>Top 50 (Pop &gt;100K)</vt:lpstr>
      <vt:lpstr>Local Coroner Data</vt:lpstr>
      <vt:lpstr>Reconciliation</vt:lpstr>
      <vt:lpstr>Full Ranking</vt:lpstr>
      <vt:lpstr>Spokane Trend</vt:lpstr>
      <vt:lpstr>Spokane Coroner Update</vt:lpstr>
      <vt:lpstr>CDC Source Data</vt:lpstr>
      <vt:lpstr>Census Source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Gavin Cooley</cp:lastModifiedBy>
  <dcterms:created xsi:type="dcterms:W3CDTF">2026-05-27T18:37:11Z</dcterms:created>
  <dcterms:modified xsi:type="dcterms:W3CDTF">2026-06-12T00:58:36Z</dcterms:modified>
</cp:coreProperties>
</file>